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autoCompressPictures="0"/>
  <mc:AlternateContent xmlns:mc="http://schemas.openxmlformats.org/markup-compatibility/2006">
    <mc:Choice Requires="x15">
      <x15ac:absPath xmlns:x15ac="http://schemas.microsoft.com/office/spreadsheetml/2010/11/ac" url="C:\Users\Brad\Desktop\mhkdr_15thscale\"/>
    </mc:Choice>
  </mc:AlternateContent>
  <xr:revisionPtr revIDLastSave="0" documentId="8_{BD0C5B25-4F6A-4A90-8E25-8FAB7533A768}" xr6:coauthVersionLast="34" xr6:coauthVersionMax="34" xr10:uidLastSave="{00000000-0000-0000-0000-000000000000}"/>
  <bookViews>
    <workbookView xWindow="0" yWindow="0" windowWidth="28800" windowHeight="12225" activeTab="7" xr2:uid="{00000000-000D-0000-FFFF-FFFF00000000}"/>
  </bookViews>
  <sheets>
    <sheet name="Metadata" sheetId="5" r:id="rId1"/>
    <sheet name="Setup" sheetId="7" r:id="rId2"/>
    <sheet name="Characteristics" sheetId="6" r:id="rId3"/>
    <sheet name="Data" sheetId="1" r:id="rId4"/>
    <sheet name="Field Values" sheetId="3" r:id="rId5"/>
    <sheet name="filenames" sheetId="13" r:id="rId6"/>
    <sheet name="About" sheetId="4" r:id="rId7"/>
    <sheet name="damping_data" sheetId="8" r:id="rId8"/>
    <sheet name="hyd_data" sheetId="11" r:id="rId9"/>
    <sheet name="survival_data" sheetId="12" r:id="rId10"/>
    <sheet name="Sheet3" sheetId="10" r:id="rId11"/>
    <sheet name="waveData" sheetId="9" r:id="rId12"/>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P14" i="6" l="1"/>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13" i="6"/>
  <c r="C62" i="1"/>
  <c r="C63" i="1"/>
  <c r="C64" i="1"/>
  <c r="C65" i="1"/>
  <c r="C66" i="1"/>
  <c r="C67" i="1"/>
  <c r="C68" i="1"/>
  <c r="C69" i="1"/>
  <c r="C70" i="1"/>
  <c r="C71" i="1"/>
  <c r="C72" i="1"/>
  <c r="C73" i="1"/>
  <c r="C74" i="1"/>
  <c r="C75" i="1"/>
  <c r="C76" i="1"/>
  <c r="C61" i="1"/>
  <c r="BS71" i="1"/>
  <c r="BS66" i="1"/>
  <c r="BS65" i="1"/>
  <c r="BS64" i="1"/>
  <c r="BS63" i="1"/>
  <c r="BS62" i="1"/>
  <c r="Y3" i="12"/>
  <c r="Y4" i="12"/>
  <c r="Y5" i="12"/>
  <c r="Y6" i="12"/>
  <c r="Y7" i="12"/>
  <c r="Y8" i="12"/>
  <c r="Y9" i="12"/>
  <c r="Y10" i="12"/>
  <c r="Y11" i="12"/>
  <c r="Y12" i="12"/>
  <c r="Y13" i="12"/>
  <c r="Y14" i="12"/>
  <c r="Y15" i="12"/>
  <c r="Y16" i="12"/>
  <c r="Y17" i="12"/>
  <c r="Y2" i="12"/>
  <c r="F30" i="10"/>
  <c r="F31" i="10"/>
  <c r="AU63" i="1"/>
  <c r="AV63" i="1"/>
  <c r="BA63" i="1"/>
  <c r="BB63" i="1"/>
  <c r="BD63" i="1"/>
  <c r="BE63" i="1"/>
  <c r="BF63" i="1"/>
  <c r="AU64" i="1"/>
  <c r="AV64" i="1"/>
  <c r="BA64" i="1"/>
  <c r="BB64" i="1"/>
  <c r="BD64" i="1"/>
  <c r="BE64" i="1"/>
  <c r="BF64" i="1"/>
  <c r="AU65" i="1"/>
  <c r="AV65" i="1"/>
  <c r="BA65" i="1"/>
  <c r="BB65" i="1"/>
  <c r="BD65" i="1"/>
  <c r="BE65" i="1"/>
  <c r="BF65" i="1"/>
  <c r="AU66" i="1"/>
  <c r="AV66" i="1"/>
  <c r="BA66" i="1"/>
  <c r="BB66" i="1"/>
  <c r="BD66" i="1"/>
  <c r="BE66" i="1"/>
  <c r="BF66" i="1"/>
  <c r="AU67" i="1"/>
  <c r="AV67" i="1"/>
  <c r="BA67" i="1"/>
  <c r="BB67" i="1"/>
  <c r="BD67" i="1"/>
  <c r="BE67" i="1"/>
  <c r="BF67" i="1"/>
  <c r="BS67" i="1"/>
  <c r="AU68" i="1"/>
  <c r="AV68" i="1"/>
  <c r="BA68" i="1"/>
  <c r="BB68" i="1"/>
  <c r="BD68" i="1"/>
  <c r="BE68" i="1"/>
  <c r="BF68" i="1"/>
  <c r="BS68" i="1"/>
  <c r="AU69" i="1"/>
  <c r="AV69" i="1"/>
  <c r="BA69" i="1"/>
  <c r="BB69" i="1"/>
  <c r="BD69" i="1"/>
  <c r="BE69" i="1"/>
  <c r="BF69" i="1"/>
  <c r="AU70" i="1"/>
  <c r="AV70" i="1"/>
  <c r="BA70" i="1"/>
  <c r="BB70" i="1"/>
  <c r="BD70" i="1"/>
  <c r="BE70" i="1"/>
  <c r="BF70" i="1"/>
  <c r="BS70" i="1"/>
  <c r="AU71" i="1"/>
  <c r="AV71" i="1"/>
  <c r="BA71" i="1"/>
  <c r="BB71" i="1"/>
  <c r="BD71" i="1"/>
  <c r="BE71" i="1"/>
  <c r="BF71" i="1"/>
  <c r="AU72" i="1"/>
  <c r="AV72" i="1"/>
  <c r="BA72" i="1"/>
  <c r="BB72" i="1"/>
  <c r="BD72" i="1"/>
  <c r="BE72" i="1"/>
  <c r="BF72" i="1"/>
  <c r="BS72" i="1"/>
  <c r="AU73" i="1"/>
  <c r="AV73" i="1"/>
  <c r="BA73" i="1"/>
  <c r="BB73" i="1"/>
  <c r="BD73" i="1"/>
  <c r="BE73" i="1"/>
  <c r="BF73" i="1"/>
  <c r="BS73" i="1"/>
  <c r="AU74" i="1"/>
  <c r="AV74" i="1"/>
  <c r="BA74" i="1"/>
  <c r="BB74" i="1"/>
  <c r="BD74" i="1"/>
  <c r="BE74" i="1"/>
  <c r="BF74" i="1"/>
  <c r="BS74" i="1"/>
  <c r="AU75" i="1"/>
  <c r="AV75" i="1"/>
  <c r="BA75" i="1"/>
  <c r="BB75" i="1"/>
  <c r="BD75" i="1"/>
  <c r="BE75" i="1"/>
  <c r="BF75" i="1"/>
  <c r="BS75" i="1"/>
  <c r="AU76" i="1"/>
  <c r="AV76" i="1"/>
  <c r="BA76" i="1"/>
  <c r="BB76" i="1"/>
  <c r="BD76" i="1"/>
  <c r="BE76" i="1"/>
  <c r="BF76" i="1"/>
  <c r="BS76" i="1"/>
  <c r="A62" i="1"/>
  <c r="B62" i="1"/>
  <c r="F62" i="1"/>
  <c r="G62" i="1"/>
  <c r="H62" i="1"/>
  <c r="I62" i="1"/>
  <c r="J62" i="1"/>
  <c r="K62" i="1"/>
  <c r="L62" i="1"/>
  <c r="M62" i="1"/>
  <c r="N62" i="1"/>
  <c r="O62" i="1"/>
  <c r="P62" i="1"/>
  <c r="Q62" i="1"/>
  <c r="R62" i="1"/>
  <c r="S62" i="1"/>
  <c r="T62" i="1"/>
  <c r="U62" i="1"/>
  <c r="V62" i="1"/>
  <c r="AB62" i="1"/>
  <c r="AD62" i="1"/>
  <c r="AE62" i="1"/>
  <c r="AF62" i="1"/>
  <c r="AG62" i="1"/>
  <c r="A63" i="1"/>
  <c r="B63" i="1"/>
  <c r="F63" i="1"/>
  <c r="G63" i="1"/>
  <c r="H63" i="1"/>
  <c r="I63" i="1"/>
  <c r="J63" i="1"/>
  <c r="K63" i="1"/>
  <c r="L63" i="1"/>
  <c r="M63" i="1"/>
  <c r="N63" i="1"/>
  <c r="O63" i="1"/>
  <c r="P63" i="1"/>
  <c r="Q63" i="1"/>
  <c r="R63" i="1"/>
  <c r="S63" i="1"/>
  <c r="T63" i="1"/>
  <c r="U63" i="1"/>
  <c r="V63" i="1"/>
  <c r="AB63" i="1"/>
  <c r="AD63" i="1"/>
  <c r="AE63" i="1"/>
  <c r="AF63" i="1"/>
  <c r="AG63" i="1"/>
  <c r="A64" i="1"/>
  <c r="B64" i="1"/>
  <c r="F64" i="1"/>
  <c r="G64" i="1"/>
  <c r="H64" i="1"/>
  <c r="I64" i="1"/>
  <c r="J64" i="1"/>
  <c r="K64" i="1"/>
  <c r="L64" i="1"/>
  <c r="M64" i="1"/>
  <c r="N64" i="1"/>
  <c r="O64" i="1"/>
  <c r="P64" i="1"/>
  <c r="Q64" i="1"/>
  <c r="R64" i="1"/>
  <c r="S64" i="1"/>
  <c r="T64" i="1"/>
  <c r="U64" i="1"/>
  <c r="V64" i="1"/>
  <c r="AB64" i="1"/>
  <c r="AD64" i="1"/>
  <c r="AE64" i="1"/>
  <c r="AF64" i="1"/>
  <c r="AG64" i="1"/>
  <c r="A65" i="1"/>
  <c r="B65" i="1"/>
  <c r="F65" i="1"/>
  <c r="G65" i="1"/>
  <c r="H65" i="1"/>
  <c r="I65" i="1"/>
  <c r="J65" i="1"/>
  <c r="K65" i="1"/>
  <c r="L65" i="1"/>
  <c r="M65" i="1"/>
  <c r="N65" i="1"/>
  <c r="O65" i="1"/>
  <c r="P65" i="1"/>
  <c r="Q65" i="1"/>
  <c r="R65" i="1"/>
  <c r="S65" i="1"/>
  <c r="T65" i="1"/>
  <c r="U65" i="1"/>
  <c r="V65" i="1"/>
  <c r="AB65" i="1"/>
  <c r="AD65" i="1"/>
  <c r="AE65" i="1"/>
  <c r="AF65" i="1"/>
  <c r="AG65" i="1"/>
  <c r="A66" i="1"/>
  <c r="B66" i="1"/>
  <c r="D66" i="1"/>
  <c r="F66" i="1"/>
  <c r="G66" i="1"/>
  <c r="H66" i="1"/>
  <c r="I66" i="1"/>
  <c r="J66" i="1"/>
  <c r="K66" i="1"/>
  <c r="L66" i="1"/>
  <c r="M66" i="1"/>
  <c r="N66" i="1"/>
  <c r="O66" i="1"/>
  <c r="P66" i="1"/>
  <c r="Q66" i="1"/>
  <c r="R66" i="1"/>
  <c r="S66" i="1"/>
  <c r="T66" i="1"/>
  <c r="U66" i="1"/>
  <c r="V66" i="1"/>
  <c r="AB66" i="1"/>
  <c r="AD66" i="1"/>
  <c r="AE66" i="1"/>
  <c r="AF66" i="1"/>
  <c r="AG66" i="1"/>
  <c r="A67" i="1"/>
  <c r="B67" i="1"/>
  <c r="D67" i="1"/>
  <c r="F67" i="1"/>
  <c r="G67" i="1"/>
  <c r="H67" i="1"/>
  <c r="I67" i="1"/>
  <c r="J67" i="1"/>
  <c r="K67" i="1"/>
  <c r="L67" i="1"/>
  <c r="M67" i="1"/>
  <c r="N67" i="1"/>
  <c r="O67" i="1"/>
  <c r="P67" i="1"/>
  <c r="Q67" i="1"/>
  <c r="R67" i="1"/>
  <c r="S67" i="1"/>
  <c r="T67" i="1"/>
  <c r="U67" i="1"/>
  <c r="V67" i="1"/>
  <c r="AB67" i="1"/>
  <c r="AD67" i="1"/>
  <c r="AE67" i="1"/>
  <c r="AF67" i="1"/>
  <c r="AG67" i="1"/>
  <c r="A68" i="1"/>
  <c r="B68" i="1"/>
  <c r="D68" i="1"/>
  <c r="F68" i="1"/>
  <c r="G68" i="1"/>
  <c r="H68" i="1"/>
  <c r="I68" i="1"/>
  <c r="J68" i="1"/>
  <c r="K68" i="1"/>
  <c r="L68" i="1"/>
  <c r="M68" i="1"/>
  <c r="N68" i="1"/>
  <c r="O68" i="1"/>
  <c r="P68" i="1"/>
  <c r="Q68" i="1"/>
  <c r="R68" i="1"/>
  <c r="S68" i="1"/>
  <c r="T68" i="1"/>
  <c r="U68" i="1"/>
  <c r="V68" i="1"/>
  <c r="AB68" i="1"/>
  <c r="AD68" i="1"/>
  <c r="AE68" i="1"/>
  <c r="AF68" i="1"/>
  <c r="AG68" i="1"/>
  <c r="A69" i="1"/>
  <c r="D69" i="1"/>
  <c r="F69" i="1"/>
  <c r="G69" i="1"/>
  <c r="H69" i="1"/>
  <c r="M69" i="1"/>
  <c r="P69" i="1"/>
  <c r="U69" i="1"/>
  <c r="AB69" i="1"/>
  <c r="AD69" i="1"/>
  <c r="AE69" i="1"/>
  <c r="AF69" i="1"/>
  <c r="AG69" i="1"/>
  <c r="A70" i="1"/>
  <c r="B70" i="1"/>
  <c r="D70" i="1"/>
  <c r="F70" i="1"/>
  <c r="G70" i="1"/>
  <c r="H70" i="1"/>
  <c r="I70" i="1"/>
  <c r="J70" i="1"/>
  <c r="K70" i="1"/>
  <c r="L70" i="1"/>
  <c r="M70" i="1"/>
  <c r="N70" i="1"/>
  <c r="O70" i="1"/>
  <c r="P70" i="1"/>
  <c r="Q70" i="1"/>
  <c r="R70" i="1"/>
  <c r="S70" i="1"/>
  <c r="T70" i="1"/>
  <c r="U70" i="1"/>
  <c r="V70" i="1"/>
  <c r="AB70" i="1"/>
  <c r="AD70" i="1"/>
  <c r="AE70" i="1"/>
  <c r="AF70" i="1"/>
  <c r="AG70" i="1"/>
  <c r="A71" i="1"/>
  <c r="B71" i="1"/>
  <c r="D71" i="1"/>
  <c r="F71" i="1"/>
  <c r="G71" i="1"/>
  <c r="H71" i="1"/>
  <c r="I71" i="1"/>
  <c r="J71" i="1"/>
  <c r="K71" i="1"/>
  <c r="L71" i="1"/>
  <c r="M71" i="1"/>
  <c r="N71" i="1"/>
  <c r="O71" i="1"/>
  <c r="P71" i="1"/>
  <c r="Q71" i="1"/>
  <c r="R71" i="1"/>
  <c r="S71" i="1"/>
  <c r="T71" i="1"/>
  <c r="U71" i="1"/>
  <c r="V71" i="1"/>
  <c r="AB71" i="1"/>
  <c r="AD71" i="1"/>
  <c r="AE71" i="1"/>
  <c r="AF71" i="1"/>
  <c r="AG71" i="1"/>
  <c r="A72" i="1"/>
  <c r="B72" i="1"/>
  <c r="D72" i="1"/>
  <c r="F72" i="1"/>
  <c r="G72" i="1"/>
  <c r="H72" i="1"/>
  <c r="I72" i="1"/>
  <c r="J72" i="1"/>
  <c r="K72" i="1"/>
  <c r="L72" i="1"/>
  <c r="M72" i="1"/>
  <c r="N72" i="1"/>
  <c r="O72" i="1"/>
  <c r="P72" i="1"/>
  <c r="Q72" i="1"/>
  <c r="R72" i="1"/>
  <c r="S72" i="1"/>
  <c r="T72" i="1"/>
  <c r="U72" i="1"/>
  <c r="V72" i="1"/>
  <c r="AB72" i="1"/>
  <c r="AD72" i="1"/>
  <c r="AE72" i="1"/>
  <c r="AF72" i="1"/>
  <c r="AG72" i="1"/>
  <c r="A73" i="1"/>
  <c r="B73" i="1"/>
  <c r="D73" i="1"/>
  <c r="F73" i="1"/>
  <c r="G73" i="1"/>
  <c r="H73" i="1"/>
  <c r="I73" i="1"/>
  <c r="J73" i="1"/>
  <c r="K73" i="1"/>
  <c r="L73" i="1"/>
  <c r="M73" i="1"/>
  <c r="N73" i="1"/>
  <c r="O73" i="1"/>
  <c r="P73" i="1"/>
  <c r="Q73" i="1"/>
  <c r="R73" i="1"/>
  <c r="S73" i="1"/>
  <c r="T73" i="1"/>
  <c r="U73" i="1"/>
  <c r="V73" i="1"/>
  <c r="AB73" i="1"/>
  <c r="AD73" i="1"/>
  <c r="AE73" i="1"/>
  <c r="AF73" i="1"/>
  <c r="AG73" i="1"/>
  <c r="A74" i="1"/>
  <c r="B74" i="1"/>
  <c r="D74" i="1"/>
  <c r="F74" i="1"/>
  <c r="G74" i="1"/>
  <c r="H74" i="1"/>
  <c r="I74" i="1"/>
  <c r="J74" i="1"/>
  <c r="K74" i="1"/>
  <c r="L74" i="1"/>
  <c r="M74" i="1"/>
  <c r="N74" i="1"/>
  <c r="O74" i="1"/>
  <c r="P74" i="1"/>
  <c r="Q74" i="1"/>
  <c r="R74" i="1"/>
  <c r="S74" i="1"/>
  <c r="T74" i="1"/>
  <c r="U74" i="1"/>
  <c r="V74" i="1"/>
  <c r="AB74" i="1"/>
  <c r="AD74" i="1"/>
  <c r="AE74" i="1"/>
  <c r="AF74" i="1"/>
  <c r="AG74" i="1"/>
  <c r="A75" i="1"/>
  <c r="B75" i="1"/>
  <c r="D75" i="1"/>
  <c r="F75" i="1"/>
  <c r="G75" i="1"/>
  <c r="H75" i="1"/>
  <c r="I75" i="1"/>
  <c r="J75" i="1"/>
  <c r="K75" i="1"/>
  <c r="L75" i="1"/>
  <c r="M75" i="1"/>
  <c r="N75" i="1"/>
  <c r="O75" i="1"/>
  <c r="P75" i="1"/>
  <c r="Q75" i="1"/>
  <c r="R75" i="1"/>
  <c r="S75" i="1"/>
  <c r="T75" i="1"/>
  <c r="U75" i="1"/>
  <c r="V75" i="1"/>
  <c r="AB75" i="1"/>
  <c r="AD75" i="1"/>
  <c r="AE75" i="1"/>
  <c r="AF75" i="1"/>
  <c r="AG75" i="1"/>
  <c r="A76" i="1"/>
  <c r="B76" i="1"/>
  <c r="D76" i="1"/>
  <c r="F76" i="1"/>
  <c r="G76" i="1"/>
  <c r="H76" i="1"/>
  <c r="I76" i="1"/>
  <c r="J76" i="1"/>
  <c r="K76" i="1"/>
  <c r="L76" i="1"/>
  <c r="M76" i="1"/>
  <c r="N76" i="1"/>
  <c r="O76" i="1"/>
  <c r="P76" i="1"/>
  <c r="Q76" i="1"/>
  <c r="R76" i="1"/>
  <c r="S76" i="1"/>
  <c r="T76" i="1"/>
  <c r="U76" i="1"/>
  <c r="V76" i="1"/>
  <c r="AB76" i="1"/>
  <c r="AD76" i="1"/>
  <c r="AE76" i="1"/>
  <c r="AF76" i="1"/>
  <c r="AG76" i="1"/>
  <c r="AU62" i="1"/>
  <c r="AV62" i="1"/>
  <c r="BS61" i="1"/>
  <c r="BD62" i="1"/>
  <c r="BE62" i="1"/>
  <c r="BF62" i="1"/>
  <c r="BE61" i="1"/>
  <c r="BF61" i="1"/>
  <c r="BD61" i="1"/>
  <c r="BA62" i="1"/>
  <c r="BB62" i="1"/>
  <c r="AV61" i="1"/>
  <c r="AU61" i="1"/>
  <c r="AG61" i="1"/>
  <c r="AF61" i="1"/>
  <c r="AE61" i="1"/>
  <c r="AD61" i="1"/>
  <c r="AB61" i="1"/>
  <c r="I61" i="1"/>
  <c r="J61" i="1"/>
  <c r="K61" i="1"/>
  <c r="L61" i="1"/>
  <c r="M61" i="1"/>
  <c r="N61" i="1"/>
  <c r="O61" i="1"/>
  <c r="P61" i="1"/>
  <c r="Q61" i="1"/>
  <c r="R61" i="1"/>
  <c r="S61" i="1"/>
  <c r="T61" i="1"/>
  <c r="U61" i="1"/>
  <c r="V61" i="1"/>
  <c r="H61" i="1"/>
  <c r="G61" i="1"/>
  <c r="F61" i="1"/>
  <c r="D61" i="1"/>
  <c r="D62" i="1"/>
  <c r="D63" i="1"/>
  <c r="D64" i="1"/>
  <c r="D65" i="1"/>
  <c r="F29" i="10"/>
  <c r="F28" i="10"/>
  <c r="F27" i="10"/>
  <c r="B61" i="1"/>
  <c r="A61" i="1"/>
  <c r="AA3" i="12"/>
  <c r="AB3" i="12"/>
  <c r="AC3" i="12"/>
  <c r="AD3" i="12"/>
  <c r="AE3" i="12"/>
  <c r="AF3" i="12"/>
  <c r="AG3" i="12"/>
  <c r="AH3" i="12"/>
  <c r="AI3" i="12"/>
  <c r="AJ3" i="12"/>
  <c r="AK3" i="12"/>
  <c r="AL3" i="12"/>
  <c r="AM3" i="12"/>
  <c r="AN3" i="12"/>
  <c r="AO3" i="12"/>
  <c r="AA4" i="12"/>
  <c r="AB4" i="12"/>
  <c r="AC4" i="12"/>
  <c r="AD4" i="12"/>
  <c r="AE4" i="12"/>
  <c r="AF4" i="12"/>
  <c r="AG4" i="12"/>
  <c r="AH4" i="12"/>
  <c r="AI4" i="12"/>
  <c r="AJ4" i="12"/>
  <c r="AK4" i="12"/>
  <c r="AL4" i="12"/>
  <c r="AM4" i="12"/>
  <c r="AN4" i="12"/>
  <c r="AO4" i="12"/>
  <c r="AA5" i="12"/>
  <c r="AB5" i="12"/>
  <c r="AC5" i="12"/>
  <c r="AD5" i="12"/>
  <c r="AE5" i="12"/>
  <c r="AF5" i="12"/>
  <c r="AG5" i="12"/>
  <c r="AH5" i="12"/>
  <c r="AI5" i="12"/>
  <c r="AJ5" i="12"/>
  <c r="AK5" i="12"/>
  <c r="AL5" i="12"/>
  <c r="AM5" i="12"/>
  <c r="AN5" i="12"/>
  <c r="AO5" i="12"/>
  <c r="AA6" i="12"/>
  <c r="AB6" i="12"/>
  <c r="AC6" i="12"/>
  <c r="AD6" i="12"/>
  <c r="AE6" i="12"/>
  <c r="AF6" i="12"/>
  <c r="AG6" i="12"/>
  <c r="AH6" i="12"/>
  <c r="AI6" i="12"/>
  <c r="AJ6" i="12"/>
  <c r="AK6" i="12"/>
  <c r="AL6" i="12"/>
  <c r="AM6" i="12"/>
  <c r="AN6" i="12"/>
  <c r="AO6" i="12"/>
  <c r="AA7" i="12"/>
  <c r="AB7" i="12"/>
  <c r="AC7" i="12"/>
  <c r="AD7" i="12"/>
  <c r="AE7" i="12"/>
  <c r="AF7" i="12"/>
  <c r="AG7" i="12"/>
  <c r="AH7" i="12"/>
  <c r="AI7" i="12"/>
  <c r="AJ7" i="12"/>
  <c r="AK7" i="12"/>
  <c r="AL7" i="12"/>
  <c r="AM7" i="12"/>
  <c r="AN7" i="12"/>
  <c r="AO7" i="12"/>
  <c r="AA8" i="12"/>
  <c r="AB8" i="12"/>
  <c r="AC8" i="12"/>
  <c r="AD8" i="12"/>
  <c r="AE8" i="12"/>
  <c r="AF8" i="12"/>
  <c r="AG8" i="12"/>
  <c r="AH8" i="12"/>
  <c r="AI8" i="12"/>
  <c r="AJ8" i="12"/>
  <c r="AK8" i="12"/>
  <c r="AL8" i="12"/>
  <c r="AM8" i="12"/>
  <c r="AN8" i="12"/>
  <c r="AO8" i="12"/>
  <c r="AA9" i="12"/>
  <c r="AB9" i="12"/>
  <c r="AC9" i="12"/>
  <c r="AD9" i="12"/>
  <c r="AE9" i="12"/>
  <c r="AF9" i="12"/>
  <c r="AG9" i="12"/>
  <c r="AH9" i="12"/>
  <c r="AI9" i="12"/>
  <c r="AJ9" i="12"/>
  <c r="AK9" i="12"/>
  <c r="AL9" i="12"/>
  <c r="AM9" i="12"/>
  <c r="AN9" i="12"/>
  <c r="AO9" i="12"/>
  <c r="AA10" i="12"/>
  <c r="AB10" i="12"/>
  <c r="I69" i="1" s="1"/>
  <c r="AC10" i="12"/>
  <c r="J69" i="1" s="1"/>
  <c r="AD10" i="12"/>
  <c r="K69" i="1" s="1"/>
  <c r="AE10" i="12"/>
  <c r="L69" i="1" s="1"/>
  <c r="AF10" i="12"/>
  <c r="AG10" i="12"/>
  <c r="N69" i="1" s="1"/>
  <c r="AH10" i="12"/>
  <c r="O69" i="1" s="1"/>
  <c r="AI10" i="12"/>
  <c r="AJ10" i="12"/>
  <c r="Q69" i="1" s="1"/>
  <c r="BS69" i="1" s="1"/>
  <c r="AK10" i="12"/>
  <c r="R69" i="1" s="1"/>
  <c r="AL10" i="12"/>
  <c r="S69" i="1" s="1"/>
  <c r="AM10" i="12"/>
  <c r="T69" i="1" s="1"/>
  <c r="AN10" i="12"/>
  <c r="AO10" i="12"/>
  <c r="V69" i="1" s="1"/>
  <c r="AA11" i="12"/>
  <c r="AB11" i="12"/>
  <c r="AC11" i="12"/>
  <c r="AD11" i="12"/>
  <c r="AE11" i="12"/>
  <c r="AF11" i="12"/>
  <c r="AG11" i="12"/>
  <c r="AH11" i="12"/>
  <c r="AI11" i="12"/>
  <c r="AJ11" i="12"/>
  <c r="AK11" i="12"/>
  <c r="AL11" i="12"/>
  <c r="AM11" i="12"/>
  <c r="AN11" i="12"/>
  <c r="AO11" i="12"/>
  <c r="AA12" i="12"/>
  <c r="AB12" i="12"/>
  <c r="AC12" i="12"/>
  <c r="AD12" i="12"/>
  <c r="AE12" i="12"/>
  <c r="AF12" i="12"/>
  <c r="AG12" i="12"/>
  <c r="AH12" i="12"/>
  <c r="AI12" i="12"/>
  <c r="AJ12" i="12"/>
  <c r="AK12" i="12"/>
  <c r="AL12" i="12"/>
  <c r="AM12" i="12"/>
  <c r="AN12" i="12"/>
  <c r="AO12" i="12"/>
  <c r="AA13" i="12"/>
  <c r="AB13" i="12"/>
  <c r="AC13" i="12"/>
  <c r="AD13" i="12"/>
  <c r="AE13" i="12"/>
  <c r="AF13" i="12"/>
  <c r="AG13" i="12"/>
  <c r="AH13" i="12"/>
  <c r="AI13" i="12"/>
  <c r="AJ13" i="12"/>
  <c r="AK13" i="12"/>
  <c r="AL13" i="12"/>
  <c r="AM13" i="12"/>
  <c r="AN13" i="12"/>
  <c r="AO13" i="12"/>
  <c r="AA14" i="12"/>
  <c r="AB14" i="12"/>
  <c r="AC14" i="12"/>
  <c r="AD14" i="12"/>
  <c r="AE14" i="12"/>
  <c r="AF14" i="12"/>
  <c r="AG14" i="12"/>
  <c r="AH14" i="12"/>
  <c r="AI14" i="12"/>
  <c r="AJ14" i="12"/>
  <c r="AK14" i="12"/>
  <c r="AL14" i="12"/>
  <c r="AM14" i="12"/>
  <c r="AN14" i="12"/>
  <c r="AO14" i="12"/>
  <c r="AA15" i="12"/>
  <c r="AB15" i="12"/>
  <c r="AC15" i="12"/>
  <c r="AD15" i="12"/>
  <c r="AE15" i="12"/>
  <c r="AF15" i="12"/>
  <c r="AG15" i="12"/>
  <c r="AH15" i="12"/>
  <c r="AI15" i="12"/>
  <c r="AJ15" i="12"/>
  <c r="AK15" i="12"/>
  <c r="AL15" i="12"/>
  <c r="AM15" i="12"/>
  <c r="AN15" i="12"/>
  <c r="AO15" i="12"/>
  <c r="AA16" i="12"/>
  <c r="AB16" i="12"/>
  <c r="AC16" i="12"/>
  <c r="AD16" i="12"/>
  <c r="AE16" i="12"/>
  <c r="AF16" i="12"/>
  <c r="AG16" i="12"/>
  <c r="AH16" i="12"/>
  <c r="AI16" i="12"/>
  <c r="AJ16" i="12"/>
  <c r="AK16" i="12"/>
  <c r="AL16" i="12"/>
  <c r="AM16" i="12"/>
  <c r="AN16" i="12"/>
  <c r="AO16" i="12"/>
  <c r="AA17" i="12"/>
  <c r="AB17" i="12"/>
  <c r="AC17" i="12"/>
  <c r="AD17" i="12"/>
  <c r="AE17" i="12"/>
  <c r="AF17" i="12"/>
  <c r="AG17" i="12"/>
  <c r="AH17" i="12"/>
  <c r="AI17" i="12"/>
  <c r="AJ17" i="12"/>
  <c r="AK17" i="12"/>
  <c r="AL17" i="12"/>
  <c r="AM17" i="12"/>
  <c r="AN17" i="12"/>
  <c r="AO17" i="12"/>
  <c r="B4" i="12"/>
  <c r="E4" i="12" s="1"/>
  <c r="J4" i="12" s="1"/>
  <c r="F4" i="12"/>
  <c r="G4" i="12" s="1"/>
  <c r="H4" i="12"/>
  <c r="I4" i="12"/>
  <c r="B5" i="12"/>
  <c r="E5" i="12" s="1"/>
  <c r="B6" i="12"/>
  <c r="F6" i="12" s="1"/>
  <c r="G6" i="12" s="1"/>
  <c r="E6" i="12"/>
  <c r="B7" i="12"/>
  <c r="H7" i="12" s="1"/>
  <c r="E7" i="12"/>
  <c r="F7" i="12"/>
  <c r="G7" i="12" s="1"/>
  <c r="B8" i="12"/>
  <c r="H8" i="12" s="1"/>
  <c r="E8" i="12"/>
  <c r="F8" i="12"/>
  <c r="G8" i="12"/>
  <c r="B9" i="12"/>
  <c r="E9" i="12"/>
  <c r="J9" i="12" s="1"/>
  <c r="F9" i="12"/>
  <c r="G9" i="12"/>
  <c r="H9" i="12"/>
  <c r="I9" i="12"/>
  <c r="B10" i="12"/>
  <c r="E10" i="12" s="1"/>
  <c r="B11" i="12"/>
  <c r="E11" i="12"/>
  <c r="F11" i="12"/>
  <c r="G11" i="12"/>
  <c r="H11" i="12"/>
  <c r="I11" i="12"/>
  <c r="J11" i="12"/>
  <c r="B12" i="12"/>
  <c r="E12" i="12" s="1"/>
  <c r="F12" i="12"/>
  <c r="G12" i="12" s="1"/>
  <c r="H12" i="12"/>
  <c r="I12" i="12"/>
  <c r="B13" i="12"/>
  <c r="E13" i="12" s="1"/>
  <c r="B14" i="12"/>
  <c r="F14" i="12" s="1"/>
  <c r="G14" i="12" s="1"/>
  <c r="E14" i="12"/>
  <c r="B15" i="12"/>
  <c r="H15" i="12" s="1"/>
  <c r="B16" i="12"/>
  <c r="H16" i="12" s="1"/>
  <c r="E16" i="12"/>
  <c r="F16" i="12"/>
  <c r="G16" i="12"/>
  <c r="B17" i="12"/>
  <c r="I17" i="12" s="1"/>
  <c r="E17" i="12"/>
  <c r="AO2" i="12"/>
  <c r="AN2" i="12"/>
  <c r="AM2" i="12"/>
  <c r="AL2" i="12"/>
  <c r="AK2" i="12"/>
  <c r="AJ2" i="12"/>
  <c r="AI2" i="12"/>
  <c r="AH2" i="12"/>
  <c r="AG2" i="12"/>
  <c r="AF2" i="12"/>
  <c r="AE2" i="12"/>
  <c r="AD2" i="12"/>
  <c r="AC2" i="12"/>
  <c r="AB2" i="12"/>
  <c r="AA2" i="12"/>
  <c r="B3" i="12"/>
  <c r="E3" i="12" s="1"/>
  <c r="B2" i="12"/>
  <c r="I2" i="12" s="1"/>
  <c r="A54" i="1"/>
  <c r="B54" i="1"/>
  <c r="D54" i="1"/>
  <c r="F54" i="1"/>
  <c r="G54" i="1"/>
  <c r="H54" i="1"/>
  <c r="I54" i="1"/>
  <c r="J54" i="1"/>
  <c r="K54" i="1"/>
  <c r="L54" i="1"/>
  <c r="M54" i="1"/>
  <c r="N54" i="1"/>
  <c r="O54" i="1"/>
  <c r="P54" i="1"/>
  <c r="Q54" i="1"/>
  <c r="R54" i="1"/>
  <c r="S54" i="1"/>
  <c r="U54" i="1"/>
  <c r="V54" i="1"/>
  <c r="AD54" i="1"/>
  <c r="AE54" i="1"/>
  <c r="AF54" i="1"/>
  <c r="AG54" i="1"/>
  <c r="AU54" i="1"/>
  <c r="AV54" i="1"/>
  <c r="BA54" i="1"/>
  <c r="BB54" i="1"/>
  <c r="BD54" i="1"/>
  <c r="BE54" i="1"/>
  <c r="BF54" i="1"/>
  <c r="BS54" i="1"/>
  <c r="A55" i="1"/>
  <c r="B55" i="1"/>
  <c r="D55" i="1"/>
  <c r="F55" i="1"/>
  <c r="G55" i="1"/>
  <c r="H55" i="1"/>
  <c r="I55" i="1"/>
  <c r="J55" i="1"/>
  <c r="K55" i="1"/>
  <c r="L55" i="1"/>
  <c r="M55" i="1"/>
  <c r="N55" i="1"/>
  <c r="O55" i="1"/>
  <c r="P55" i="1"/>
  <c r="Q55" i="1"/>
  <c r="BS55" i="1" s="1"/>
  <c r="R55" i="1"/>
  <c r="S55" i="1"/>
  <c r="U55" i="1"/>
  <c r="V55" i="1"/>
  <c r="AD55" i="1"/>
  <c r="AE55" i="1"/>
  <c r="AF55" i="1"/>
  <c r="AG55" i="1"/>
  <c r="AU55" i="1"/>
  <c r="AV55" i="1"/>
  <c r="BA55" i="1"/>
  <c r="BB55" i="1"/>
  <c r="BD55" i="1"/>
  <c r="BE55" i="1"/>
  <c r="BF55" i="1"/>
  <c r="A56" i="1"/>
  <c r="B56" i="1"/>
  <c r="D56" i="1"/>
  <c r="F56" i="1"/>
  <c r="G56" i="1"/>
  <c r="H56" i="1"/>
  <c r="I56" i="1"/>
  <c r="J56" i="1"/>
  <c r="K56" i="1"/>
  <c r="L56" i="1"/>
  <c r="M56" i="1"/>
  <c r="N56" i="1"/>
  <c r="O56" i="1"/>
  <c r="P56" i="1"/>
  <c r="Q56" i="1"/>
  <c r="R56" i="1"/>
  <c r="S56" i="1"/>
  <c r="U56" i="1"/>
  <c r="V56" i="1"/>
  <c r="AD56" i="1"/>
  <c r="AE56" i="1"/>
  <c r="AF56" i="1"/>
  <c r="AG56" i="1"/>
  <c r="AU56" i="1"/>
  <c r="AV56" i="1"/>
  <c r="BA56" i="1"/>
  <c r="BS56" i="1" s="1"/>
  <c r="BB56" i="1"/>
  <c r="BD56" i="1"/>
  <c r="BE56" i="1"/>
  <c r="BF56" i="1"/>
  <c r="A57" i="1"/>
  <c r="B57" i="1"/>
  <c r="D57" i="1"/>
  <c r="F57" i="1"/>
  <c r="G57" i="1"/>
  <c r="H57" i="1"/>
  <c r="I57" i="1"/>
  <c r="J57" i="1"/>
  <c r="K57" i="1"/>
  <c r="L57" i="1"/>
  <c r="M57" i="1"/>
  <c r="N57" i="1"/>
  <c r="O57" i="1"/>
  <c r="P57" i="1"/>
  <c r="Q57" i="1"/>
  <c r="R57" i="1"/>
  <c r="S57" i="1"/>
  <c r="U57" i="1"/>
  <c r="V57" i="1"/>
  <c r="AD57" i="1"/>
  <c r="AE57" i="1"/>
  <c r="AF57" i="1"/>
  <c r="AG57" i="1"/>
  <c r="AU57" i="1"/>
  <c r="AV57" i="1"/>
  <c r="BA57" i="1"/>
  <c r="BS57" i="1" s="1"/>
  <c r="BB57" i="1"/>
  <c r="BD57" i="1"/>
  <c r="BE57" i="1"/>
  <c r="BF57" i="1"/>
  <c r="A58" i="1"/>
  <c r="B58" i="1"/>
  <c r="D58" i="1"/>
  <c r="F58" i="1"/>
  <c r="G58" i="1"/>
  <c r="H58" i="1"/>
  <c r="I58" i="1"/>
  <c r="J58" i="1"/>
  <c r="K58" i="1"/>
  <c r="L58" i="1"/>
  <c r="M58" i="1"/>
  <c r="N58" i="1"/>
  <c r="O58" i="1"/>
  <c r="P58" i="1"/>
  <c r="Q58" i="1"/>
  <c r="R58" i="1"/>
  <c r="S58" i="1"/>
  <c r="U58" i="1"/>
  <c r="V58" i="1"/>
  <c r="AD58" i="1"/>
  <c r="AE58" i="1"/>
  <c r="AF58" i="1"/>
  <c r="AG58" i="1"/>
  <c r="AU58" i="1"/>
  <c r="AV58" i="1"/>
  <c r="BA58" i="1"/>
  <c r="BS58" i="1" s="1"/>
  <c r="BB58" i="1"/>
  <c r="BD58" i="1"/>
  <c r="BE58" i="1"/>
  <c r="BF58" i="1"/>
  <c r="A59" i="1"/>
  <c r="B59" i="1"/>
  <c r="D59" i="1"/>
  <c r="F59" i="1"/>
  <c r="G59" i="1"/>
  <c r="H59" i="1"/>
  <c r="I59" i="1"/>
  <c r="J59" i="1"/>
  <c r="K59" i="1"/>
  <c r="L59" i="1"/>
  <c r="M59" i="1"/>
  <c r="N59" i="1"/>
  <c r="O59" i="1"/>
  <c r="P59" i="1"/>
  <c r="Q59" i="1"/>
  <c r="R59" i="1"/>
  <c r="S59" i="1"/>
  <c r="U59" i="1"/>
  <c r="V59" i="1"/>
  <c r="AD59" i="1"/>
  <c r="AE59" i="1"/>
  <c r="AF59" i="1"/>
  <c r="AG59" i="1"/>
  <c r="AU59" i="1"/>
  <c r="AV59" i="1"/>
  <c r="BA59" i="1"/>
  <c r="BS59" i="1" s="1"/>
  <c r="BB59" i="1"/>
  <c r="BD59" i="1"/>
  <c r="BE59" i="1"/>
  <c r="BF59" i="1"/>
  <c r="A60" i="1"/>
  <c r="B60" i="1"/>
  <c r="D60" i="1"/>
  <c r="F60" i="1"/>
  <c r="G60" i="1"/>
  <c r="H60" i="1"/>
  <c r="I60" i="1"/>
  <c r="J60" i="1"/>
  <c r="K60" i="1"/>
  <c r="L60" i="1"/>
  <c r="M60" i="1"/>
  <c r="N60" i="1"/>
  <c r="O60" i="1"/>
  <c r="P60" i="1"/>
  <c r="Q60" i="1"/>
  <c r="R60" i="1"/>
  <c r="S60" i="1"/>
  <c r="U60" i="1"/>
  <c r="V60" i="1"/>
  <c r="AD60" i="1"/>
  <c r="AE60" i="1"/>
  <c r="AF60" i="1"/>
  <c r="AG60" i="1"/>
  <c r="AU60" i="1"/>
  <c r="AV60" i="1"/>
  <c r="BA60" i="1"/>
  <c r="BB60" i="1"/>
  <c r="BD60" i="1"/>
  <c r="BE60" i="1"/>
  <c r="BF60" i="1"/>
  <c r="BS60" i="1"/>
  <c r="BS53" i="1"/>
  <c r="BE53" i="1"/>
  <c r="BF53" i="1"/>
  <c r="BD53" i="1"/>
  <c r="BB53" i="1"/>
  <c r="BA53" i="1"/>
  <c r="AV53" i="1"/>
  <c r="AU53" i="1"/>
  <c r="AG53" i="1"/>
  <c r="AF53" i="1"/>
  <c r="AE53" i="1"/>
  <c r="AD53" i="1"/>
  <c r="AA5" i="11"/>
  <c r="AA6" i="11"/>
  <c r="AA7" i="11"/>
  <c r="AA8" i="11"/>
  <c r="AA9" i="11"/>
  <c r="AA10" i="11"/>
  <c r="AA11" i="11"/>
  <c r="G53" i="1"/>
  <c r="F53" i="1"/>
  <c r="D53" i="1"/>
  <c r="B53" i="1"/>
  <c r="A53" i="1"/>
  <c r="J5" i="11"/>
  <c r="J6" i="11"/>
  <c r="J7" i="11"/>
  <c r="J8" i="11"/>
  <c r="J9" i="11"/>
  <c r="J10" i="11"/>
  <c r="J11" i="11"/>
  <c r="J4" i="11"/>
  <c r="B5" i="11"/>
  <c r="E5" i="11" s="1"/>
  <c r="H5" i="11"/>
  <c r="I5" i="11"/>
  <c r="B6" i="11"/>
  <c r="E6" i="11" s="1"/>
  <c r="B7" i="11"/>
  <c r="F7" i="11" s="1"/>
  <c r="G7" i="11" s="1"/>
  <c r="E7" i="11"/>
  <c r="B8" i="11"/>
  <c r="H8" i="11" s="1"/>
  <c r="E8" i="11"/>
  <c r="F8" i="11"/>
  <c r="G8" i="11" s="1"/>
  <c r="B9" i="11"/>
  <c r="H9" i="11" s="1"/>
  <c r="E9" i="11"/>
  <c r="F9" i="11"/>
  <c r="G9" i="11"/>
  <c r="B10" i="11"/>
  <c r="E10" i="11"/>
  <c r="F10" i="11"/>
  <c r="G10" i="11"/>
  <c r="H10" i="11"/>
  <c r="I10" i="11"/>
  <c r="B11" i="11"/>
  <c r="E11" i="11" s="1"/>
  <c r="F11" i="11"/>
  <c r="G11" i="11"/>
  <c r="H11" i="11"/>
  <c r="I11" i="11"/>
  <c r="B4" i="11"/>
  <c r="I4" i="11" s="1"/>
  <c r="AB5" i="11"/>
  <c r="AC5" i="11"/>
  <c r="AD5" i="11"/>
  <c r="AE5" i="11"/>
  <c r="AF5" i="11"/>
  <c r="AG5" i="11"/>
  <c r="AH5" i="11"/>
  <c r="AI5" i="11"/>
  <c r="AJ5" i="11"/>
  <c r="AK5" i="11"/>
  <c r="AL5" i="11"/>
  <c r="AM5" i="11"/>
  <c r="AN5" i="11"/>
  <c r="AO5" i="11"/>
  <c r="AB6" i="11"/>
  <c r="AC6" i="11"/>
  <c r="AD6" i="11"/>
  <c r="AE6" i="11"/>
  <c r="AF6" i="11"/>
  <c r="AG6" i="11"/>
  <c r="AH6" i="11"/>
  <c r="AI6" i="11"/>
  <c r="AJ6" i="11"/>
  <c r="AK6" i="11"/>
  <c r="AL6" i="11"/>
  <c r="AM6" i="11"/>
  <c r="AN6" i="11"/>
  <c r="AO6" i="11"/>
  <c r="AB7" i="11"/>
  <c r="AC7" i="11"/>
  <c r="AD7" i="11"/>
  <c r="AE7" i="11"/>
  <c r="AF7" i="11"/>
  <c r="AG7" i="11"/>
  <c r="AH7" i="11"/>
  <c r="AI7" i="11"/>
  <c r="AJ7" i="11"/>
  <c r="AK7" i="11"/>
  <c r="AL7" i="11"/>
  <c r="AM7" i="11"/>
  <c r="AN7" i="11"/>
  <c r="AO7" i="11"/>
  <c r="AB8" i="11"/>
  <c r="AC8" i="11"/>
  <c r="AD8" i="11"/>
  <c r="AE8" i="11"/>
  <c r="AF8" i="11"/>
  <c r="AG8" i="11"/>
  <c r="AH8" i="11"/>
  <c r="AI8" i="11"/>
  <c r="AJ8" i="11"/>
  <c r="AK8" i="11"/>
  <c r="AL8" i="11"/>
  <c r="AM8" i="11"/>
  <c r="AN8" i="11"/>
  <c r="AO8" i="11"/>
  <c r="AB9" i="11"/>
  <c r="AC9" i="11"/>
  <c r="AD9" i="11"/>
  <c r="AE9" i="11"/>
  <c r="AF9" i="11"/>
  <c r="AG9" i="11"/>
  <c r="AH9" i="11"/>
  <c r="AI9" i="11"/>
  <c r="AJ9" i="11"/>
  <c r="AK9" i="11"/>
  <c r="AL9" i="11"/>
  <c r="AM9" i="11"/>
  <c r="AN9" i="11"/>
  <c r="AO9" i="11"/>
  <c r="AB10" i="11"/>
  <c r="AC10" i="11"/>
  <c r="AD10" i="11"/>
  <c r="AE10" i="11"/>
  <c r="AF10" i="11"/>
  <c r="AG10" i="11"/>
  <c r="AH10" i="11"/>
  <c r="AI10" i="11"/>
  <c r="AJ10" i="11"/>
  <c r="AK10" i="11"/>
  <c r="AL10" i="11"/>
  <c r="AM10" i="11"/>
  <c r="AN10" i="11"/>
  <c r="AO10" i="11"/>
  <c r="AB11" i="11"/>
  <c r="AC11" i="11"/>
  <c r="AD11" i="11"/>
  <c r="AE11" i="11"/>
  <c r="AF11" i="11"/>
  <c r="AG11" i="11"/>
  <c r="AH11" i="11"/>
  <c r="AI11" i="11"/>
  <c r="AJ11" i="11"/>
  <c r="AK11" i="11"/>
  <c r="AL11" i="11"/>
  <c r="AM11" i="11"/>
  <c r="AN11" i="11"/>
  <c r="AO11" i="11"/>
  <c r="AO4" i="11"/>
  <c r="V53" i="1" s="1"/>
  <c r="AN4" i="11"/>
  <c r="U53" i="1" s="1"/>
  <c r="AM4" i="11"/>
  <c r="AL4" i="11"/>
  <c r="S53" i="1" s="1"/>
  <c r="AK4" i="11"/>
  <c r="R53" i="1" s="1"/>
  <c r="AJ4" i="11"/>
  <c r="Q53" i="1" s="1"/>
  <c r="AI4" i="11"/>
  <c r="P53" i="1" s="1"/>
  <c r="AH4" i="11"/>
  <c r="O53" i="1" s="1"/>
  <c r="AG4" i="11"/>
  <c r="N53" i="1" s="1"/>
  <c r="AF4" i="11"/>
  <c r="M53" i="1" s="1"/>
  <c r="AE4" i="11"/>
  <c r="L53" i="1" s="1"/>
  <c r="AD4" i="11"/>
  <c r="K53" i="1" s="1"/>
  <c r="AC4" i="11"/>
  <c r="J53" i="1" s="1"/>
  <c r="AB4" i="11"/>
  <c r="I53" i="1" s="1"/>
  <c r="AA4" i="11"/>
  <c r="H53" i="1" s="1"/>
  <c r="Y5" i="11"/>
  <c r="Y6" i="11"/>
  <c r="Y7" i="11"/>
  <c r="Y8" i="11"/>
  <c r="Y9" i="11"/>
  <c r="Y10" i="11"/>
  <c r="Y11" i="11"/>
  <c r="Y4" i="11"/>
  <c r="F22" i="10"/>
  <c r="F23" i="10"/>
  <c r="F24" i="10"/>
  <c r="F25" i="10"/>
  <c r="F21" i="10"/>
  <c r="Y3" i="8"/>
  <c r="Z3" i="8"/>
  <c r="AA3" i="8"/>
  <c r="AB3" i="8"/>
  <c r="AC3" i="8"/>
  <c r="AD3" i="8"/>
  <c r="AE3" i="8"/>
  <c r="AF3" i="8"/>
  <c r="AG3" i="8"/>
  <c r="AH3" i="8"/>
  <c r="AI3" i="8"/>
  <c r="AJ3" i="8"/>
  <c r="AK3" i="8"/>
  <c r="AL3" i="8"/>
  <c r="AM3" i="8"/>
  <c r="Y4" i="8"/>
  <c r="Z4" i="8"/>
  <c r="AA4" i="8"/>
  <c r="AB4" i="8"/>
  <c r="AC4" i="8"/>
  <c r="AD4" i="8"/>
  <c r="AE4" i="8"/>
  <c r="AF4" i="8"/>
  <c r="AG4" i="8"/>
  <c r="AH4" i="8"/>
  <c r="AI4" i="8"/>
  <c r="AJ4" i="8"/>
  <c r="AK4" i="8"/>
  <c r="AL4" i="8"/>
  <c r="AM4" i="8"/>
  <c r="Y5" i="8"/>
  <c r="Z5" i="8"/>
  <c r="AA5" i="8"/>
  <c r="AB5" i="8"/>
  <c r="AC5" i="8"/>
  <c r="AD5" i="8"/>
  <c r="AE5" i="8"/>
  <c r="AF5" i="8"/>
  <c r="AG5" i="8"/>
  <c r="AH5" i="8"/>
  <c r="AI5" i="8"/>
  <c r="AJ5" i="8"/>
  <c r="AK5" i="8"/>
  <c r="AL5" i="8"/>
  <c r="AM5" i="8"/>
  <c r="Y6" i="8"/>
  <c r="Z6" i="8"/>
  <c r="AA6" i="8"/>
  <c r="AB6" i="8"/>
  <c r="AC6" i="8"/>
  <c r="AD6" i="8"/>
  <c r="AE6" i="8"/>
  <c r="AF6" i="8"/>
  <c r="AG6" i="8"/>
  <c r="AH6" i="8"/>
  <c r="AI6" i="8"/>
  <c r="AJ6" i="8"/>
  <c r="AK6" i="8"/>
  <c r="AL6" i="8"/>
  <c r="AM6" i="8"/>
  <c r="Y7" i="8"/>
  <c r="Z7" i="8"/>
  <c r="AA7" i="8"/>
  <c r="AB7" i="8"/>
  <c r="AC7" i="8"/>
  <c r="AD7" i="8"/>
  <c r="AE7" i="8"/>
  <c r="AF7" i="8"/>
  <c r="AG7" i="8"/>
  <c r="AH7" i="8"/>
  <c r="AI7" i="8"/>
  <c r="AJ7" i="8"/>
  <c r="AK7" i="8"/>
  <c r="AL7" i="8"/>
  <c r="AM7" i="8"/>
  <c r="Y8" i="8"/>
  <c r="Z8" i="8"/>
  <c r="AA8" i="8"/>
  <c r="AB8" i="8"/>
  <c r="AC8" i="8"/>
  <c r="AD8" i="8"/>
  <c r="AE8" i="8"/>
  <c r="AF8" i="8"/>
  <c r="AG8" i="8"/>
  <c r="AH8" i="8"/>
  <c r="AI8" i="8"/>
  <c r="AJ8" i="8"/>
  <c r="AK8" i="8"/>
  <c r="AL8" i="8"/>
  <c r="AM8" i="8"/>
  <c r="Y9" i="8"/>
  <c r="Z9" i="8"/>
  <c r="AA9" i="8"/>
  <c r="AB9" i="8"/>
  <c r="AC9" i="8"/>
  <c r="AD9" i="8"/>
  <c r="AE9" i="8"/>
  <c r="AF9" i="8"/>
  <c r="AG9" i="8"/>
  <c r="AH9" i="8"/>
  <c r="AI9" i="8"/>
  <c r="AJ9" i="8"/>
  <c r="AK9" i="8"/>
  <c r="AL9" i="8"/>
  <c r="AM9" i="8"/>
  <c r="Y10" i="8"/>
  <c r="Z10" i="8"/>
  <c r="AA10" i="8"/>
  <c r="AB10" i="8"/>
  <c r="AC10" i="8"/>
  <c r="AD10" i="8"/>
  <c r="AE10" i="8"/>
  <c r="AF10" i="8"/>
  <c r="AG10" i="8"/>
  <c r="AH10" i="8"/>
  <c r="AI10" i="8"/>
  <c r="AJ10" i="8"/>
  <c r="AK10" i="8"/>
  <c r="AL10" i="8"/>
  <c r="AM10" i="8"/>
  <c r="Y11" i="8"/>
  <c r="Z11" i="8"/>
  <c r="AA11" i="8"/>
  <c r="AB11" i="8"/>
  <c r="AC11" i="8"/>
  <c r="AD11" i="8"/>
  <c r="AE11" i="8"/>
  <c r="AF11" i="8"/>
  <c r="AG11" i="8"/>
  <c r="AH11" i="8"/>
  <c r="AI11" i="8"/>
  <c r="AJ11" i="8"/>
  <c r="AK11" i="8"/>
  <c r="AL11" i="8"/>
  <c r="AM11" i="8"/>
  <c r="Y12" i="8"/>
  <c r="Z12" i="8"/>
  <c r="AA12" i="8"/>
  <c r="AB12" i="8"/>
  <c r="AC12" i="8"/>
  <c r="AD12" i="8"/>
  <c r="AE12" i="8"/>
  <c r="AF12" i="8"/>
  <c r="AG12" i="8"/>
  <c r="AH12" i="8"/>
  <c r="AI12" i="8"/>
  <c r="AJ12" i="8"/>
  <c r="AK12" i="8"/>
  <c r="AL12" i="8"/>
  <c r="AM12" i="8"/>
  <c r="Y13" i="8"/>
  <c r="Z13" i="8"/>
  <c r="AA13" i="8"/>
  <c r="AB13" i="8"/>
  <c r="AC13" i="8"/>
  <c r="AD13" i="8"/>
  <c r="AE13" i="8"/>
  <c r="AF13" i="8"/>
  <c r="AG13" i="8"/>
  <c r="AH13" i="8"/>
  <c r="AI13" i="8"/>
  <c r="AJ13" i="8"/>
  <c r="AK13" i="8"/>
  <c r="AL13" i="8"/>
  <c r="AM13" i="8"/>
  <c r="Y14" i="8"/>
  <c r="Z14" i="8"/>
  <c r="AA14" i="8"/>
  <c r="AB14" i="8"/>
  <c r="AC14" i="8"/>
  <c r="AD14" i="8"/>
  <c r="AE14" i="8"/>
  <c r="AF14" i="8"/>
  <c r="AG14" i="8"/>
  <c r="AH14" i="8"/>
  <c r="AI14" i="8"/>
  <c r="AJ14" i="8"/>
  <c r="AK14" i="8"/>
  <c r="AL14" i="8"/>
  <c r="AM14" i="8"/>
  <c r="Y15" i="8"/>
  <c r="Z15" i="8"/>
  <c r="AA15" i="8"/>
  <c r="AB15" i="8"/>
  <c r="AC15" i="8"/>
  <c r="AD15" i="8"/>
  <c r="AE15" i="8"/>
  <c r="AF15" i="8"/>
  <c r="AG15" i="8"/>
  <c r="AH15" i="8"/>
  <c r="AI15" i="8"/>
  <c r="AJ15" i="8"/>
  <c r="AK15" i="8"/>
  <c r="AL15" i="8"/>
  <c r="AM15" i="8"/>
  <c r="Y16" i="8"/>
  <c r="Z16" i="8"/>
  <c r="AA16" i="8"/>
  <c r="AB16" i="8"/>
  <c r="AC16" i="8"/>
  <c r="AD16" i="8"/>
  <c r="AE16" i="8"/>
  <c r="AF16" i="8"/>
  <c r="AG16" i="8"/>
  <c r="AH16" i="8"/>
  <c r="AI16" i="8"/>
  <c r="AJ16" i="8"/>
  <c r="AK16" i="8"/>
  <c r="AL16" i="8"/>
  <c r="AM16" i="8"/>
  <c r="Y17" i="8"/>
  <c r="Z17" i="8"/>
  <c r="AA17" i="8"/>
  <c r="AB17" i="8"/>
  <c r="AC17" i="8"/>
  <c r="AD17" i="8"/>
  <c r="AE17" i="8"/>
  <c r="AF17" i="8"/>
  <c r="AG17" i="8"/>
  <c r="AH17" i="8"/>
  <c r="AI17" i="8"/>
  <c r="AJ17" i="8"/>
  <c r="AK17" i="8"/>
  <c r="AL17" i="8"/>
  <c r="AM17" i="8"/>
  <c r="Y18" i="8"/>
  <c r="Z18" i="8"/>
  <c r="AA18" i="8"/>
  <c r="AB18" i="8"/>
  <c r="AC18" i="8"/>
  <c r="AD18" i="8"/>
  <c r="AE18" i="8"/>
  <c r="AF18" i="8"/>
  <c r="AG18" i="8"/>
  <c r="AH18" i="8"/>
  <c r="AI18" i="8"/>
  <c r="AJ18" i="8"/>
  <c r="AK18" i="8"/>
  <c r="AL18" i="8"/>
  <c r="AM18" i="8"/>
  <c r="Y19" i="8"/>
  <c r="Z19" i="8"/>
  <c r="AA19" i="8"/>
  <c r="AB19" i="8"/>
  <c r="AC19" i="8"/>
  <c r="AD19" i="8"/>
  <c r="AE19" i="8"/>
  <c r="AF19" i="8"/>
  <c r="AG19" i="8"/>
  <c r="AH19" i="8"/>
  <c r="AI19" i="8"/>
  <c r="AJ19" i="8"/>
  <c r="AK19" i="8"/>
  <c r="AL19" i="8"/>
  <c r="AM19" i="8"/>
  <c r="Y20" i="8"/>
  <c r="Z20" i="8"/>
  <c r="AA20" i="8"/>
  <c r="AB20" i="8"/>
  <c r="AC20" i="8"/>
  <c r="AD20" i="8"/>
  <c r="AE20" i="8"/>
  <c r="AF20" i="8"/>
  <c r="AG20" i="8"/>
  <c r="AH20" i="8"/>
  <c r="AI20" i="8"/>
  <c r="AJ20" i="8"/>
  <c r="AK20" i="8"/>
  <c r="AL20" i="8"/>
  <c r="AM20" i="8"/>
  <c r="Y21" i="8"/>
  <c r="Z21" i="8"/>
  <c r="AA21" i="8"/>
  <c r="AB21" i="8"/>
  <c r="AC21" i="8"/>
  <c r="AD21" i="8"/>
  <c r="AE21" i="8"/>
  <c r="AF21" i="8"/>
  <c r="AG21" i="8"/>
  <c r="AH21" i="8"/>
  <c r="AI21" i="8"/>
  <c r="AJ21" i="8"/>
  <c r="AK21" i="8"/>
  <c r="AL21" i="8"/>
  <c r="AM21" i="8"/>
  <c r="Y22" i="8"/>
  <c r="Z22" i="8"/>
  <c r="AA22" i="8"/>
  <c r="AB22" i="8"/>
  <c r="AC22" i="8"/>
  <c r="AD22" i="8"/>
  <c r="AE22" i="8"/>
  <c r="AF22" i="8"/>
  <c r="AG22" i="8"/>
  <c r="AH22" i="8"/>
  <c r="AI22" i="8"/>
  <c r="AJ22" i="8"/>
  <c r="AK22" i="8"/>
  <c r="AL22" i="8"/>
  <c r="AM22" i="8"/>
  <c r="Y23" i="8"/>
  <c r="Z23" i="8"/>
  <c r="AA23" i="8"/>
  <c r="AB23" i="8"/>
  <c r="AC23" i="8"/>
  <c r="AD23" i="8"/>
  <c r="AE23" i="8"/>
  <c r="AF23" i="8"/>
  <c r="AG23" i="8"/>
  <c r="AH23" i="8"/>
  <c r="AI23" i="8"/>
  <c r="AJ23" i="8"/>
  <c r="AK23" i="8"/>
  <c r="AL23" i="8"/>
  <c r="AM23" i="8"/>
  <c r="Y24" i="8"/>
  <c r="Z24" i="8"/>
  <c r="AA24" i="8"/>
  <c r="AB24" i="8"/>
  <c r="AC24" i="8"/>
  <c r="AD24" i="8"/>
  <c r="AE24" i="8"/>
  <c r="AF24" i="8"/>
  <c r="AG24" i="8"/>
  <c r="AH24" i="8"/>
  <c r="AI24" i="8"/>
  <c r="AJ24" i="8"/>
  <c r="AK24" i="8"/>
  <c r="AL24" i="8"/>
  <c r="AM24" i="8"/>
  <c r="Y25" i="8"/>
  <c r="Z25" i="8"/>
  <c r="AA25" i="8"/>
  <c r="AB25" i="8"/>
  <c r="AC25" i="8"/>
  <c r="AD25" i="8"/>
  <c r="AE25" i="8"/>
  <c r="AF25" i="8"/>
  <c r="AG25" i="8"/>
  <c r="AH25" i="8"/>
  <c r="AI25" i="8"/>
  <c r="AJ25" i="8"/>
  <c r="AK25" i="8"/>
  <c r="AL25" i="8"/>
  <c r="AM25" i="8"/>
  <c r="Y26" i="8"/>
  <c r="Z26" i="8"/>
  <c r="AA26" i="8"/>
  <c r="AB26" i="8"/>
  <c r="AC26" i="8"/>
  <c r="AD26" i="8"/>
  <c r="AE26" i="8"/>
  <c r="AF26" i="8"/>
  <c r="AG26" i="8"/>
  <c r="AH26" i="8"/>
  <c r="AI26" i="8"/>
  <c r="AJ26" i="8"/>
  <c r="AK26" i="8"/>
  <c r="AL26" i="8"/>
  <c r="AM26" i="8"/>
  <c r="Y27" i="8"/>
  <c r="Z27" i="8"/>
  <c r="AA27" i="8"/>
  <c r="AB27" i="8"/>
  <c r="AC27" i="8"/>
  <c r="AD27" i="8"/>
  <c r="AE27" i="8"/>
  <c r="AF27" i="8"/>
  <c r="AG27" i="8"/>
  <c r="AH27" i="8"/>
  <c r="AI27" i="8"/>
  <c r="AJ27" i="8"/>
  <c r="AK27" i="8"/>
  <c r="AL27" i="8"/>
  <c r="AM27" i="8"/>
  <c r="Y28" i="8"/>
  <c r="Z28" i="8"/>
  <c r="AA28" i="8"/>
  <c r="AB28" i="8"/>
  <c r="AC28" i="8"/>
  <c r="AD28" i="8"/>
  <c r="AE28" i="8"/>
  <c r="AF28" i="8"/>
  <c r="AG28" i="8"/>
  <c r="AH28" i="8"/>
  <c r="AI28" i="8"/>
  <c r="AJ28" i="8"/>
  <c r="AK28" i="8"/>
  <c r="AL28" i="8"/>
  <c r="AM28" i="8"/>
  <c r="Y29" i="8"/>
  <c r="Z29" i="8"/>
  <c r="AA29" i="8"/>
  <c r="AB29" i="8"/>
  <c r="AC29" i="8"/>
  <c r="AD29" i="8"/>
  <c r="AE29" i="8"/>
  <c r="AF29" i="8"/>
  <c r="AG29" i="8"/>
  <c r="AH29" i="8"/>
  <c r="AI29" i="8"/>
  <c r="AJ29" i="8"/>
  <c r="AK29" i="8"/>
  <c r="AL29" i="8"/>
  <c r="AM29" i="8"/>
  <c r="Y30" i="8"/>
  <c r="Z30" i="8"/>
  <c r="AA30" i="8"/>
  <c r="AB30" i="8"/>
  <c r="AC30" i="8"/>
  <c r="AD30" i="8"/>
  <c r="AE30" i="8"/>
  <c r="AF30" i="8"/>
  <c r="AG30" i="8"/>
  <c r="AH30" i="8"/>
  <c r="AI30" i="8"/>
  <c r="AJ30" i="8"/>
  <c r="AK30" i="8"/>
  <c r="AL30" i="8"/>
  <c r="AM30" i="8"/>
  <c r="Y31" i="8"/>
  <c r="Z31" i="8"/>
  <c r="AA31" i="8"/>
  <c r="AB31" i="8"/>
  <c r="AC31" i="8"/>
  <c r="AD31" i="8"/>
  <c r="AE31" i="8"/>
  <c r="AF31" i="8"/>
  <c r="AG31" i="8"/>
  <c r="AH31" i="8"/>
  <c r="AI31" i="8"/>
  <c r="AJ31" i="8"/>
  <c r="AK31" i="8"/>
  <c r="AL31" i="8"/>
  <c r="AM31" i="8"/>
  <c r="Y32" i="8"/>
  <c r="Z32" i="8"/>
  <c r="AA32" i="8"/>
  <c r="AB32" i="8"/>
  <c r="AC32" i="8"/>
  <c r="AD32" i="8"/>
  <c r="AE32" i="8"/>
  <c r="AF32" i="8"/>
  <c r="AG32" i="8"/>
  <c r="AH32" i="8"/>
  <c r="AI32" i="8"/>
  <c r="AJ32" i="8"/>
  <c r="AK32" i="8"/>
  <c r="AL32" i="8"/>
  <c r="AM32" i="8"/>
  <c r="Y33" i="8"/>
  <c r="Z33" i="8"/>
  <c r="AA33" i="8"/>
  <c r="AB33" i="8"/>
  <c r="AC33" i="8"/>
  <c r="AD33" i="8"/>
  <c r="AE33" i="8"/>
  <c r="AF33" i="8"/>
  <c r="AG33" i="8"/>
  <c r="AH33" i="8"/>
  <c r="AI33" i="8"/>
  <c r="AJ33" i="8"/>
  <c r="AK33" i="8"/>
  <c r="AL33" i="8"/>
  <c r="AM33" i="8"/>
  <c r="Y34" i="8"/>
  <c r="Z34" i="8"/>
  <c r="AA34" i="8"/>
  <c r="AB34" i="8"/>
  <c r="AC34" i="8"/>
  <c r="AD34" i="8"/>
  <c r="AE34" i="8"/>
  <c r="AF34" i="8"/>
  <c r="AG34" i="8"/>
  <c r="AH34" i="8"/>
  <c r="AI34" i="8"/>
  <c r="AJ34" i="8"/>
  <c r="AK34" i="8"/>
  <c r="AL34" i="8"/>
  <c r="AM34" i="8"/>
  <c r="Y35" i="8"/>
  <c r="Z35" i="8"/>
  <c r="AA35" i="8"/>
  <c r="AB35" i="8"/>
  <c r="AC35" i="8"/>
  <c r="AD35" i="8"/>
  <c r="AE35" i="8"/>
  <c r="AF35" i="8"/>
  <c r="AG35" i="8"/>
  <c r="AH35" i="8"/>
  <c r="AI35" i="8"/>
  <c r="AJ35" i="8"/>
  <c r="AK35" i="8"/>
  <c r="AL35" i="8"/>
  <c r="AM35" i="8"/>
  <c r="Y36" i="8"/>
  <c r="Z36" i="8"/>
  <c r="AA36" i="8"/>
  <c r="AB36" i="8"/>
  <c r="AC36" i="8"/>
  <c r="AD36" i="8"/>
  <c r="AE36" i="8"/>
  <c r="AF36" i="8"/>
  <c r="AG36" i="8"/>
  <c r="AH36" i="8"/>
  <c r="AI36" i="8"/>
  <c r="AJ36" i="8"/>
  <c r="AK36" i="8"/>
  <c r="AL36" i="8"/>
  <c r="AM36" i="8"/>
  <c r="Y37" i="8"/>
  <c r="Z37" i="8"/>
  <c r="AA37" i="8"/>
  <c r="AB37" i="8"/>
  <c r="AC37" i="8"/>
  <c r="AD37" i="8"/>
  <c r="AE37" i="8"/>
  <c r="AF37" i="8"/>
  <c r="AG37" i="8"/>
  <c r="AH37" i="8"/>
  <c r="AI37" i="8"/>
  <c r="AJ37" i="8"/>
  <c r="AK37" i="8"/>
  <c r="AL37" i="8"/>
  <c r="AM37" i="8"/>
  <c r="Y38" i="8"/>
  <c r="Z38" i="8"/>
  <c r="AA38" i="8"/>
  <c r="AB38" i="8"/>
  <c r="AC38" i="8"/>
  <c r="AD38" i="8"/>
  <c r="AE38" i="8"/>
  <c r="AF38" i="8"/>
  <c r="AG38" i="8"/>
  <c r="AH38" i="8"/>
  <c r="AI38" i="8"/>
  <c r="AJ38" i="8"/>
  <c r="AK38" i="8"/>
  <c r="AL38" i="8"/>
  <c r="AM38" i="8"/>
  <c r="Y39" i="8"/>
  <c r="Z39" i="8"/>
  <c r="AA39" i="8"/>
  <c r="AB39" i="8"/>
  <c r="AC39" i="8"/>
  <c r="AD39" i="8"/>
  <c r="AE39" i="8"/>
  <c r="AF39" i="8"/>
  <c r="AG39" i="8"/>
  <c r="AH39" i="8"/>
  <c r="AI39" i="8"/>
  <c r="AJ39" i="8"/>
  <c r="AK39" i="8"/>
  <c r="AL39" i="8"/>
  <c r="AM39" i="8"/>
  <c r="Y40" i="8"/>
  <c r="Z40" i="8"/>
  <c r="AA40" i="8"/>
  <c r="AB40" i="8"/>
  <c r="AC40" i="8"/>
  <c r="AD40" i="8"/>
  <c r="AE40" i="8"/>
  <c r="AF40" i="8"/>
  <c r="AG40" i="8"/>
  <c r="AH40" i="8"/>
  <c r="AI40" i="8"/>
  <c r="AJ40" i="8"/>
  <c r="AK40" i="8"/>
  <c r="AL40" i="8"/>
  <c r="AM40" i="8"/>
  <c r="Y41" i="8"/>
  <c r="Z41" i="8"/>
  <c r="AA41" i="8"/>
  <c r="AB41" i="8"/>
  <c r="AC41" i="8"/>
  <c r="AD41" i="8"/>
  <c r="AE41" i="8"/>
  <c r="AF41" i="8"/>
  <c r="AG41" i="8"/>
  <c r="AH41" i="8"/>
  <c r="AI41" i="8"/>
  <c r="AJ41" i="8"/>
  <c r="AK41" i="8"/>
  <c r="AL41" i="8"/>
  <c r="AM41" i="8"/>
  <c r="AM2" i="8"/>
  <c r="AL2" i="8"/>
  <c r="AK2" i="8"/>
  <c r="AJ2" i="8"/>
  <c r="AI2" i="8"/>
  <c r="AH2" i="8"/>
  <c r="AG2" i="8"/>
  <c r="AF2" i="8"/>
  <c r="AE2" i="8"/>
  <c r="AD2" i="8"/>
  <c r="AC2" i="8"/>
  <c r="AB2" i="8"/>
  <c r="AA2" i="8"/>
  <c r="Z2" i="8"/>
  <c r="Y2" i="8"/>
  <c r="X3" i="8"/>
  <c r="X4" i="8"/>
  <c r="X5" i="8"/>
  <c r="X6" i="8"/>
  <c r="X7" i="8"/>
  <c r="X8" i="8"/>
  <c r="X9" i="8"/>
  <c r="X10" i="8"/>
  <c r="X11" i="8"/>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2" i="8"/>
  <c r="W3" i="8"/>
  <c r="W4" i="8"/>
  <c r="W5" i="8"/>
  <c r="W6" i="8"/>
  <c r="W7" i="8"/>
  <c r="W8" i="8"/>
  <c r="W9" i="8"/>
  <c r="W10" i="8"/>
  <c r="W11" i="8"/>
  <c r="W12" i="8"/>
  <c r="W13" i="8"/>
  <c r="W14" i="8"/>
  <c r="W15" i="8"/>
  <c r="W16" i="8"/>
  <c r="W17" i="8"/>
  <c r="W18" i="8"/>
  <c r="W19" i="8"/>
  <c r="W20" i="8"/>
  <c r="W21" i="8"/>
  <c r="W22" i="8"/>
  <c r="W23" i="8"/>
  <c r="W24" i="8"/>
  <c r="W25" i="8"/>
  <c r="W26" i="8"/>
  <c r="W27" i="8"/>
  <c r="W28" i="8"/>
  <c r="W29" i="8"/>
  <c r="W30" i="8"/>
  <c r="W31" i="8"/>
  <c r="W32" i="8"/>
  <c r="W33" i="8"/>
  <c r="W34" i="8"/>
  <c r="W35" i="8"/>
  <c r="W36" i="8"/>
  <c r="W37" i="8"/>
  <c r="W38" i="8"/>
  <c r="W39" i="8"/>
  <c r="W40" i="8"/>
  <c r="W41" i="8"/>
  <c r="W2" i="8"/>
  <c r="J2"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3" i="8"/>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2" i="8"/>
  <c r="F3" i="8"/>
  <c r="H3" i="8"/>
  <c r="I3" i="8"/>
  <c r="F4" i="8"/>
  <c r="H4" i="8"/>
  <c r="I4" i="8"/>
  <c r="F5" i="8"/>
  <c r="H5" i="8"/>
  <c r="I5" i="8"/>
  <c r="F6" i="8"/>
  <c r="H6" i="8"/>
  <c r="I6" i="8"/>
  <c r="F7" i="8"/>
  <c r="H7" i="8"/>
  <c r="I7" i="8"/>
  <c r="F8" i="8"/>
  <c r="H8" i="8"/>
  <c r="I8" i="8"/>
  <c r="F9" i="8"/>
  <c r="H9" i="8"/>
  <c r="I9" i="8"/>
  <c r="F10" i="8"/>
  <c r="H10" i="8"/>
  <c r="I10" i="8"/>
  <c r="F11" i="8"/>
  <c r="H11" i="8"/>
  <c r="I11" i="8"/>
  <c r="F12" i="8"/>
  <c r="H12" i="8"/>
  <c r="I12" i="8"/>
  <c r="F13" i="8"/>
  <c r="H13" i="8"/>
  <c r="I13" i="8"/>
  <c r="F14" i="8"/>
  <c r="H14" i="8"/>
  <c r="I14" i="8"/>
  <c r="F15" i="8"/>
  <c r="H15" i="8"/>
  <c r="I15" i="8"/>
  <c r="F16" i="8"/>
  <c r="H16" i="8"/>
  <c r="I16" i="8"/>
  <c r="F17" i="8"/>
  <c r="H17" i="8"/>
  <c r="I17" i="8"/>
  <c r="F18" i="8"/>
  <c r="H18" i="8"/>
  <c r="I18" i="8"/>
  <c r="F19" i="8"/>
  <c r="H19" i="8"/>
  <c r="I19" i="8"/>
  <c r="F20" i="8"/>
  <c r="H20" i="8"/>
  <c r="I20" i="8"/>
  <c r="F21" i="8"/>
  <c r="H21" i="8"/>
  <c r="I21" i="8"/>
  <c r="F22" i="8"/>
  <c r="H22" i="8"/>
  <c r="I22" i="8"/>
  <c r="F23" i="8"/>
  <c r="H23" i="8"/>
  <c r="I23" i="8"/>
  <c r="F24" i="8"/>
  <c r="H24" i="8"/>
  <c r="I24" i="8"/>
  <c r="F25" i="8"/>
  <c r="H25" i="8"/>
  <c r="I25" i="8"/>
  <c r="F26" i="8"/>
  <c r="H26" i="8"/>
  <c r="I26" i="8"/>
  <c r="F27" i="8"/>
  <c r="H27" i="8"/>
  <c r="I27" i="8"/>
  <c r="F28" i="8"/>
  <c r="H28" i="8"/>
  <c r="I28" i="8"/>
  <c r="F29" i="8"/>
  <c r="H29" i="8"/>
  <c r="I29" i="8"/>
  <c r="F30" i="8"/>
  <c r="H30" i="8"/>
  <c r="I30" i="8"/>
  <c r="F31" i="8"/>
  <c r="H31" i="8"/>
  <c r="I31" i="8"/>
  <c r="F32" i="8"/>
  <c r="H32" i="8"/>
  <c r="I32" i="8"/>
  <c r="F33" i="8"/>
  <c r="H33" i="8"/>
  <c r="I33" i="8"/>
  <c r="F34" i="8"/>
  <c r="H34" i="8"/>
  <c r="I34" i="8"/>
  <c r="F35" i="8"/>
  <c r="H35" i="8"/>
  <c r="I35" i="8"/>
  <c r="F36" i="8"/>
  <c r="H36" i="8"/>
  <c r="I36" i="8"/>
  <c r="F37" i="8"/>
  <c r="H37" i="8"/>
  <c r="I37" i="8"/>
  <c r="F38" i="8"/>
  <c r="H38" i="8"/>
  <c r="I38" i="8"/>
  <c r="F39" i="8"/>
  <c r="H39" i="8"/>
  <c r="I39" i="8"/>
  <c r="F40" i="8"/>
  <c r="H40" i="8"/>
  <c r="I40" i="8"/>
  <c r="F41" i="8"/>
  <c r="H41" i="8"/>
  <c r="I41" i="8"/>
  <c r="H2" i="8"/>
  <c r="I2" i="8"/>
  <c r="F2" i="8"/>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2" i="8"/>
  <c r="F2" i="10"/>
  <c r="F3" i="10"/>
  <c r="F4" i="10"/>
  <c r="F5" i="10"/>
  <c r="F6" i="10"/>
  <c r="F7" i="10"/>
  <c r="F8" i="10"/>
  <c r="F9" i="10"/>
  <c r="F10" i="10"/>
  <c r="F11" i="10"/>
  <c r="F12" i="10"/>
  <c r="F13" i="10"/>
  <c r="F14" i="10"/>
  <c r="F15" i="10"/>
  <c r="F16" i="10"/>
  <c r="F17" i="10"/>
  <c r="F18" i="10"/>
  <c r="F19" i="10"/>
  <c r="F20" i="10"/>
  <c r="F1" i="10"/>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2" i="8"/>
  <c r="H10" i="12" l="1"/>
  <c r="F10" i="12"/>
  <c r="G10" i="12" s="1"/>
  <c r="H17" i="12"/>
  <c r="J17" i="12"/>
  <c r="F15" i="12"/>
  <c r="G15" i="12" s="1"/>
  <c r="F17" i="12"/>
  <c r="G17" i="12" s="1"/>
  <c r="E15" i="12"/>
  <c r="J12" i="12"/>
  <c r="I10" i="12"/>
  <c r="J16" i="12"/>
  <c r="J8" i="12"/>
  <c r="J15" i="12"/>
  <c r="I5" i="12"/>
  <c r="I14" i="12"/>
  <c r="H13" i="12"/>
  <c r="I6" i="12"/>
  <c r="H5" i="12"/>
  <c r="I15" i="12"/>
  <c r="H14" i="12"/>
  <c r="J14" i="12" s="1"/>
  <c r="I7" i="12"/>
  <c r="J7" i="12" s="1"/>
  <c r="H6" i="12"/>
  <c r="J6" i="12" s="1"/>
  <c r="I13" i="12"/>
  <c r="I16" i="12"/>
  <c r="F13" i="12"/>
  <c r="G13" i="12" s="1"/>
  <c r="J13" i="12" s="1"/>
  <c r="I8" i="12"/>
  <c r="F5" i="12"/>
  <c r="G5" i="12" s="1"/>
  <c r="J5" i="12" s="1"/>
  <c r="I3" i="12"/>
  <c r="H3" i="12"/>
  <c r="F3" i="12"/>
  <c r="G3" i="12" s="1"/>
  <c r="J3" i="12" s="1"/>
  <c r="E2" i="12"/>
  <c r="F2" i="12"/>
  <c r="G2" i="12" s="1"/>
  <c r="H2" i="12"/>
  <c r="I7" i="11"/>
  <c r="H6" i="11"/>
  <c r="I6" i="11"/>
  <c r="I8" i="11"/>
  <c r="H7" i="11"/>
  <c r="F5" i="11"/>
  <c r="G5" i="11" s="1"/>
  <c r="I9" i="11"/>
  <c r="F6" i="11"/>
  <c r="G6" i="11" s="1"/>
  <c r="E4" i="11"/>
  <c r="F4" i="11"/>
  <c r="G4" i="11" s="1"/>
  <c r="H4" i="11"/>
  <c r="B5" i="4"/>
  <c r="J10" i="12" l="1"/>
  <c r="B69" i="1" s="1"/>
  <c r="J2" i="12"/>
</calcChain>
</file>

<file path=xl/sharedStrings.xml><?xml version="1.0" encoding="utf-8"?>
<sst xmlns="http://schemas.openxmlformats.org/spreadsheetml/2006/main" count="2205" uniqueCount="783">
  <si>
    <t>WEC Identifier</t>
  </si>
  <si>
    <t>WEC Status</t>
  </si>
  <si>
    <t>Average</t>
  </si>
  <si>
    <t>Std Dev</t>
  </si>
  <si>
    <t>Max</t>
  </si>
  <si>
    <t>Y-M-DTHH:MM:SS+000</t>
  </si>
  <si>
    <t>Timestamp</t>
  </si>
  <si>
    <t>Notes</t>
  </si>
  <si>
    <t>As per IEC/TS 62600-100, Section 7.5</t>
  </si>
  <si>
    <t>As per  IEC/TS 62600-100, Section 9.2.3</t>
  </si>
  <si>
    <r>
      <t>Wave Direction
(</t>
    </r>
    <r>
      <rPr>
        <sz val="11"/>
        <color theme="1"/>
        <rFont val="Calibri"/>
        <family val="2"/>
      </rPr>
      <t>°</t>
    </r>
    <r>
      <rPr>
        <sz val="11"/>
        <color theme="1"/>
        <rFont val="Calibri"/>
        <family val="2"/>
        <scheme val="minor"/>
      </rPr>
      <t>)</t>
    </r>
  </si>
  <si>
    <t>Point Absorber</t>
  </si>
  <si>
    <t>Operating – Waiting for Waves</t>
  </si>
  <si>
    <t>Wave field is too small for generation, however, WEC is fully operational and connected to the grid</t>
  </si>
  <si>
    <t>Operating – Normal Generation/Full Performance</t>
  </si>
  <si>
    <t>WEC is operational, connected to the grid and producing power as per specifications/normal operations</t>
  </si>
  <si>
    <t>Operating – Reduced Generation/Partial Performance</t>
  </si>
  <si>
    <t>WEC is operational, connected to the grid and producing power, but the power production is reduced from specification for some reason</t>
  </si>
  <si>
    <t>Operating – Start up</t>
  </si>
  <si>
    <t>WEC is transitioning between waiting for waves and generating</t>
  </si>
  <si>
    <t>Reported Status</t>
  </si>
  <si>
    <t>Definition</t>
  </si>
  <si>
    <t xml:space="preserve">Attenuator </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</si>
  <si>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</si>
  <si>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</si>
  <si>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</si>
  <si>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</si>
  <si>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</si>
  <si>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</si>
  <si>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Bulge Wave</t>
  </si>
  <si>
    <t>Rotating Mass</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</si>
  <si>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</si>
  <si>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</si>
  <si>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</si>
  <si>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</si>
  <si>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</si>
  <si>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</si>
  <si>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</si>
  <si>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</si>
  <si>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</si>
  <si>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</si>
  <si>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</si>
  <si>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</si>
  <si>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</si>
  <si>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</si>
  <si>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</si>
  <si>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</si>
  <si>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</si>
  <si>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</si>
  <si>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</si>
  <si>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</si>
  <si>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</si>
  <si>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WEC Metadata</t>
  </si>
  <si>
    <t>datetime</t>
  </si>
  <si>
    <t>significantWaveHeight</t>
  </si>
  <si>
    <t>waveDirection</t>
  </si>
  <si>
    <t>waveEnergyFlux</t>
  </si>
  <si>
    <t>tidalHeight</t>
  </si>
  <si>
    <t>A13</t>
  </si>
  <si>
    <t>Submerged Pressure Differential</t>
  </si>
  <si>
    <t>WEC Make</t>
  </si>
  <si>
    <t>WEC Model</t>
  </si>
  <si>
    <t>Date of Manufacture 
(Y-M-D)</t>
  </si>
  <si>
    <t>Date when manufacturing of the WEC was completed</t>
  </si>
  <si>
    <t>Mounting Methods (Based on EMEC definitions, http://www.emec.org.uk/marine-energy/tidal-devices/)</t>
  </si>
  <si>
    <t>Seabed mounted / gravity base</t>
  </si>
  <si>
    <t>This is physically attached to the seabed or is fixed by virtue of its massive weight. In some cases there may be additional fixing to the seabed.</t>
  </si>
  <si>
    <t>Pile mounted</t>
  </si>
  <si>
    <t>Floating - Flexible mooring</t>
  </si>
  <si>
    <t>he device is tethered via a cable/chain to the seabed allowing considerable freedom of movement. This allows a device to swing as the tidal current direction changes with the tide</t>
  </si>
  <si>
    <t>Floating - Rigid mooring</t>
  </si>
  <si>
    <t>The device is secured into position using a fixed mooring system, allowing minimal leeway</t>
  </si>
  <si>
    <t>Floating - Floating structure</t>
  </si>
  <si>
    <t xml:space="preserve">This principle is analogous to that used to mount most large wind turbines, whereby the device is attached to a pole penetrating the ocean floor. </t>
  </si>
  <si>
    <t>This allows several WECs to be mounted to a single platform</t>
  </si>
  <si>
    <t>Mounting method, one of the values defined on the Field Values tab</t>
  </si>
  <si>
    <t>Test Facility Name</t>
  </si>
  <si>
    <t>Name of facility where the WEC is tested</t>
  </si>
  <si>
    <t>Name of Test Tank</t>
  </si>
  <si>
    <t>Name of the tank where the WEC is tested</t>
  </si>
  <si>
    <t>Type of test tank, one of the values defined on the Field Values tab</t>
  </si>
  <si>
    <t>Shape of test tank, one of the values defined on the Field Values tab</t>
  </si>
  <si>
    <t>Length of tank (for circular or  sector of circle, enter diameter)</t>
  </si>
  <si>
    <t>Width (for circular or  sector of circle, enter diameter, enter the inscribed angle)</t>
  </si>
  <si>
    <t>Project Title</t>
  </si>
  <si>
    <t>DOE Project Title</t>
  </si>
  <si>
    <t>DOE Award Number</t>
  </si>
  <si>
    <t>Award Start Date</t>
  </si>
  <si>
    <t>Award End Date</t>
  </si>
  <si>
    <t>The date work on the project completed, or is scheduled to complete</t>
  </si>
  <si>
    <t>WEC Name</t>
  </si>
  <si>
    <t>Water Depth
(m)</t>
  </si>
  <si>
    <t>UTC timestamp at start of test
(ISO-8601)</t>
  </si>
  <si>
    <t>Test duration
(s)</t>
  </si>
  <si>
    <t>testDuration</t>
  </si>
  <si>
    <t>waveType</t>
  </si>
  <si>
    <t>Wave Spectrum Type</t>
  </si>
  <si>
    <t>PTO Mode</t>
  </si>
  <si>
    <t>Type</t>
  </si>
  <si>
    <t>Model Scale PTO implementation</t>
  </si>
  <si>
    <t>Pierson-Moskowitz</t>
  </si>
  <si>
    <t>JONSWAP</t>
  </si>
  <si>
    <t>Bretschneider Spectrum</t>
  </si>
  <si>
    <t>Custom</t>
  </si>
  <si>
    <t>Type of Spectrum</t>
  </si>
  <si>
    <t>PTO Type at Full Scale - the expected type of PTO that is expected to be used in the full scale device</t>
  </si>
  <si>
    <t>Gearbox to rotary generator</t>
  </si>
  <si>
    <t>Gearbox to linear generator</t>
  </si>
  <si>
    <t>Rotary Direct Drive</t>
  </si>
  <si>
    <t xml:space="preserve">Linear Direct Drive </t>
  </si>
  <si>
    <t>Hydraulic</t>
  </si>
  <si>
    <t>Wells Turbine</t>
  </si>
  <si>
    <t>Other Turbine</t>
  </si>
  <si>
    <t>Linear Damper</t>
  </si>
  <si>
    <t>Orifice</t>
  </si>
  <si>
    <t>None</t>
  </si>
  <si>
    <t>Other Damper</t>
  </si>
  <si>
    <t xml:space="preserve">Water depth at WEC </t>
  </si>
  <si>
    <t>Shape of the tank</t>
  </si>
  <si>
    <t>Circular</t>
  </si>
  <si>
    <t>Rectangular</t>
  </si>
  <si>
    <t>Square</t>
  </si>
  <si>
    <t>Long and Narrow</t>
  </si>
  <si>
    <t>Length &gt;&gt; Width</t>
  </si>
  <si>
    <t>Semi-circle</t>
  </si>
  <si>
    <t>Part of circle</t>
  </si>
  <si>
    <t>Half a circle</t>
  </si>
  <si>
    <r>
      <t xml:space="preserve">Length </t>
    </r>
    <r>
      <rPr>
        <sz val="11"/>
        <color theme="1"/>
        <rFont val="Calibri"/>
        <family val="2"/>
      </rPr>
      <t>≠</t>
    </r>
    <r>
      <rPr>
        <sz val="9.35"/>
        <color theme="1"/>
        <rFont val="Calibri"/>
        <family val="2"/>
      </rPr>
      <t xml:space="preserve"> Width</t>
    </r>
  </si>
  <si>
    <t>Length = Width</t>
  </si>
  <si>
    <t>A fraction of a circle</t>
  </si>
  <si>
    <t>Linear Damping</t>
  </si>
  <si>
    <t>Nonlinear Damping</t>
  </si>
  <si>
    <t>Custom Controller</t>
  </si>
  <si>
    <t>Locked</t>
  </si>
  <si>
    <t>One of either Force  (N) or Torque (Nm)</t>
  </si>
  <si>
    <t>One of the values defined on the Field Values tab.</t>
  </si>
  <si>
    <t>i.e. layout of array and where is the device located in the array and what are the array dimensions</t>
  </si>
  <si>
    <t>Impulse Turbine</t>
  </si>
  <si>
    <t>Savonius rotor</t>
  </si>
  <si>
    <t xml:space="preserve">Capture Length
(m) </t>
  </si>
  <si>
    <t>Award Number</t>
  </si>
  <si>
    <t>The date work on the project officially began</t>
  </si>
  <si>
    <t>Purpose of Test</t>
  </si>
  <si>
    <t>e.g. linear damping coefficient and such</t>
  </si>
  <si>
    <t>Pneumatic</t>
  </si>
  <si>
    <t xml:space="preserve">Wave Energy Flux
(W/m) </t>
  </si>
  <si>
    <t>ptoMode</t>
  </si>
  <si>
    <t>ptoSetting</t>
  </si>
  <si>
    <t>arrayConfig</t>
  </si>
  <si>
    <t>waveSpectrumType</t>
  </si>
  <si>
    <t>wecLabTesting</t>
  </si>
  <si>
    <t>WEC Laboratory Testing</t>
  </si>
  <si>
    <t>The Wave Energy Converter (WEC) Laboratory Test Content Model provides data submitters with a straight forward and consistent means of uploading some processed laboratory test data and associated metadata to the MHK data repository. These data are important to DOE and will be used to develop data products that provide quantitative information to guide and support programmatic decisions. Data will also be used to assess the state of the MHK industry and technology readiness, perform resource assessment, and support DOE national laboratory research. The ultimate goal is to use these data to perform research and tailor programs to best benefit the industry.
The metadata are static information describing the project, the WEC technology under test, and the test setup. These metadata provide critical contextual data that are needed to understand the test and interpret the test data. For runs with constant wave characteristics, a single entry should be provided for each test and include the average wave conditions and device performance that are calculated over valid times within each run, after steady state has been reached. For longer tests or test with changing conditions, separate entries should be provided for each wave condition/sea state. Where possible, data are defined per IEC and NDBC as outlined in the spreadsheet. Please strictly adhere to the units to ensure consistency between all submissions.</t>
  </si>
  <si>
    <t>Name of the technology (as applicable)</t>
  </si>
  <si>
    <t>Name of the WEC line/type as specified by the manufacturer/developer (as applicable)</t>
  </si>
  <si>
    <t>Name of the technology manufacturer/developer (as applicable)</t>
  </si>
  <si>
    <t>Unique identifier used to identify the specific unit for which this data applies, serial number, unit number, etc. (as applicable)</t>
  </si>
  <si>
    <t>Purpose of test/run, one or more of the values defined on the Field Values tab, use comma's to separate field values</t>
  </si>
  <si>
    <t>Report of each individual test/run or different environmental condition within a test/run</t>
  </si>
  <si>
    <t>Min</t>
  </si>
  <si>
    <t>Status of the WEC - one of the values defined on the Field Values tab.</t>
  </si>
  <si>
    <t>Enter any relevant notes to help understand the data in the content model</t>
  </si>
  <si>
    <t>Type of PTO, one of the values defined on the Field Values tab</t>
  </si>
  <si>
    <t>Type of Test Tank</t>
  </si>
  <si>
    <t>Tow Tank</t>
  </si>
  <si>
    <t>A long and narrow basin that is equipped with a towing carriage that runs the length of the tank</t>
  </si>
  <si>
    <t>Rotating Arm</t>
  </si>
  <si>
    <t>A circular tank the uses an arm, that behaves as a tow carriage, which rotates about the center of the tank</t>
  </si>
  <si>
    <t>Flow Channel</t>
  </si>
  <si>
    <t>A flow channel with three sides - the top is exposed to air. Water is pumped through the channel to create a current</t>
  </si>
  <si>
    <t>Cavitation Tunnel</t>
  </si>
  <si>
    <t xml:space="preserve">An fully enclosed flow channel </t>
  </si>
  <si>
    <t>Wave Flume</t>
  </si>
  <si>
    <t>A long and narrow basin that generates 2D waves (also know as a wave channel)</t>
  </si>
  <si>
    <t>Wave Basin</t>
  </si>
  <si>
    <t>A wave tank which has a width and length of comparable magnitude and is able to generate 3D waves</t>
  </si>
  <si>
    <t>Power Performance</t>
  </si>
  <si>
    <t>Response Performance</t>
  </si>
  <si>
    <t>Noise</t>
  </si>
  <si>
    <t>Power Quality</t>
  </si>
  <si>
    <t>Safety and Function</t>
  </si>
  <si>
    <t>Control Development</t>
  </si>
  <si>
    <t>Develop, test and tune controllers</t>
  </si>
  <si>
    <t>Demonstration</t>
  </si>
  <si>
    <t>Numerical Model Validation</t>
  </si>
  <si>
    <t>Collect data to validate a numerical model(s)</t>
  </si>
  <si>
    <t>Type of Control for Run</t>
  </si>
  <si>
    <t>No control is applied</t>
  </si>
  <si>
    <t>Open Loop</t>
  </si>
  <si>
    <t>Open loop control</t>
  </si>
  <si>
    <t>Feedback with  Constant Gains</t>
  </si>
  <si>
    <t>Feedback controller with constant gains</t>
  </si>
  <si>
    <t>Feedback with  Gain Scheduling</t>
  </si>
  <si>
    <t>Feedback controller  with gains determined by system state</t>
  </si>
  <si>
    <t>Feedback Adaptive</t>
  </si>
  <si>
    <t>Feedback controller  with adaptive gains and/or strategy</t>
  </si>
  <si>
    <t>Feedback Other</t>
  </si>
  <si>
    <t>Feedback controller other</t>
  </si>
  <si>
    <t>Feedforward with  Constant Gains</t>
  </si>
  <si>
    <t>Feedforward controller with constant gains</t>
  </si>
  <si>
    <t>Feedforward with  Gain Scheduling</t>
  </si>
  <si>
    <t>Feedforward controller with gains determined by system state</t>
  </si>
  <si>
    <t>Feedforward  controller with adaptive gains and/or strategy</t>
  </si>
  <si>
    <t>Feedforward controller  other</t>
  </si>
  <si>
    <t>Type of controller not covered above</t>
  </si>
  <si>
    <t xml:space="preserve">Measure the WEC power performance </t>
  </si>
  <si>
    <t>Measure the structural loads on the WEC</t>
  </si>
  <si>
    <t>Measure and characterize the noise produced by the WEC</t>
  </si>
  <si>
    <t>Characterize the power quality of the power produced by the WEC</t>
  </si>
  <si>
    <t>Verify that the WEC has adequate provisions to operate safely under all conditions</t>
  </si>
  <si>
    <t>Demonstrate the WEC technology</t>
  </si>
  <si>
    <t>WEC Control</t>
  </si>
  <si>
    <t>Self-Assessed Technology Performance Level based on DOE definitions (1-9)</t>
  </si>
  <si>
    <t>Scale of device relative to full scale (ratio), i.e. 1:2  based on expected initial commercial deployments sites or initial target market</t>
  </si>
  <si>
    <t>Technology Readiness Level (DOE TRL classification)</t>
  </si>
  <si>
    <t>Detailed info</t>
  </si>
  <si>
    <t>http://en.openei.org/wiki/Marine_and_Hydrokinetic_Technology_Readiness_Level</t>
  </si>
  <si>
    <t>Scientific research begins</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</si>
  <si>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</si>
  <si>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</si>
  <si>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</si>
  <si>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</si>
  <si>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</si>
  <si>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</si>
  <si>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</si>
  <si>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</si>
  <si>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status</t>
  </si>
  <si>
    <t>control</t>
  </si>
  <si>
    <t>testPurpose</t>
  </si>
  <si>
    <t>captureLengthAvg</t>
  </si>
  <si>
    <t>Test Overview</t>
  </si>
  <si>
    <t>Test Environment</t>
  </si>
  <si>
    <t>Configuration Description</t>
  </si>
  <si>
    <t>Number of Bodies
(integer)</t>
  </si>
  <si>
    <t>Number of bodies in the WEC, these should include bodies such as hulls, flaps and floats</t>
  </si>
  <si>
    <t>Total mass of the device, including all ballast, NOT including mooring</t>
  </si>
  <si>
    <t>Total Mass
(kg)</t>
  </si>
  <si>
    <t>Overall Device Characteristics</t>
  </si>
  <si>
    <t>Name of Body
(text)</t>
  </si>
  <si>
    <t>Short description of the device configuration such as the operating mode, e.g. normal operation - heavy seas)</t>
  </si>
  <si>
    <t>Description of Configuration
(text)</t>
  </si>
  <si>
    <t>The name of the body (e.g. Float 1, barge, etc.)</t>
  </si>
  <si>
    <t>Mass
(kg)</t>
  </si>
  <si>
    <t>Please list in the following order: Ixx, Iyy, Izz, Ixy, Ixz, Iyz</t>
  </si>
  <si>
    <t>Total mass of the body, including ballast and entrained water (exclude added mass)</t>
  </si>
  <si>
    <t>Body 1</t>
  </si>
  <si>
    <t>numberBodies</t>
  </si>
  <si>
    <t>mountingMethod</t>
  </si>
  <si>
    <t>ptoImplementation</t>
  </si>
  <si>
    <t>totalMass</t>
  </si>
  <si>
    <t>body1Name</t>
  </si>
  <si>
    <t>body1mass</t>
  </si>
  <si>
    <t>body1MassMoments</t>
  </si>
  <si>
    <t>body2Name</t>
  </si>
  <si>
    <t>body2mass</t>
  </si>
  <si>
    <t>body2MassMoments</t>
  </si>
  <si>
    <t>Wave Energy Period, Te
(s)</t>
  </si>
  <si>
    <t>Wave Peak Period, Tp
(s)</t>
  </si>
  <si>
    <t>spectral width</t>
  </si>
  <si>
    <t>Peak enhancement factor
(gamma)</t>
  </si>
  <si>
    <t>Steepness</t>
  </si>
  <si>
    <t>Relative to forward direction of device, positive about z-axis pointing down using RHR</t>
  </si>
  <si>
    <t>Spreading Exponent</t>
  </si>
  <si>
    <t>deviceConfiguration</t>
  </si>
  <si>
    <r>
      <t>Water Density
(kg/m</t>
    </r>
    <r>
      <rPr>
        <vertAlign val="superscript"/>
        <sz val="11"/>
        <color theme="1"/>
        <rFont val="Calibri"/>
        <family val="2"/>
        <scheme val="minor"/>
      </rPr>
      <t>3</t>
    </r>
    <r>
      <rPr>
        <sz val="11"/>
        <color theme="1"/>
        <rFont val="Calibri"/>
        <family val="2"/>
        <scheme val="minor"/>
      </rPr>
      <t>)</t>
    </r>
  </si>
  <si>
    <t>Tank Overview</t>
  </si>
  <si>
    <t>tankType</t>
  </si>
  <si>
    <t>tankShape</t>
  </si>
  <si>
    <t>tankLength</t>
  </si>
  <si>
    <t>tankWidth</t>
  </si>
  <si>
    <t>Tank Width 
(m)</t>
  </si>
  <si>
    <t>Tank Length
(m)</t>
  </si>
  <si>
    <t>Tank Depth
(m)</t>
  </si>
  <si>
    <t>Type of Tank
(m)</t>
  </si>
  <si>
    <t>Array</t>
  </si>
  <si>
    <t>Array or Single Device
(text)</t>
  </si>
  <si>
    <t>Choose one of either Array or Single Device</t>
  </si>
  <si>
    <t>Number of WECs in Test
(integer)</t>
  </si>
  <si>
    <t>isArray</t>
  </si>
  <si>
    <t>numWecs</t>
  </si>
  <si>
    <t>Typical Depth of Tank</t>
  </si>
  <si>
    <t>Shape of Tank
(text)</t>
  </si>
  <si>
    <t>Mounting Method
(text)</t>
  </si>
  <si>
    <t xml:space="preserve">The maximum peak output of the installed generator or other representative system for the model. For multiple generators, use the sum of generator peak outputs. </t>
  </si>
  <si>
    <t>Target peak output power 
(W)</t>
  </si>
  <si>
    <t>PTO Type at Full Scale
(text)</t>
  </si>
  <si>
    <t>Device Scale 
(ratio)</t>
  </si>
  <si>
    <t>Model Scale PTO implementation
(text)</t>
  </si>
  <si>
    <t>deviceScale</t>
  </si>
  <si>
    <t>ptoTypeFullScale</t>
  </si>
  <si>
    <t>targetPeakPower</t>
  </si>
  <si>
    <t>targetMaximumPower</t>
  </si>
  <si>
    <t>wavePeakednessFactor</t>
  </si>
  <si>
    <t>waveSteepness</t>
  </si>
  <si>
    <t>waveSpreadingMethod</t>
  </si>
  <si>
    <t>waveSpreadingExponent</t>
  </si>
  <si>
    <t>waveEnergyPeriod</t>
  </si>
  <si>
    <t>waveSpectralWidth</t>
  </si>
  <si>
    <t>waterDensity</t>
  </si>
  <si>
    <t>Tank Configuration Identifier
(integer)</t>
  </si>
  <si>
    <t>tankDepth</t>
  </si>
  <si>
    <t>deviceConfigurationID</t>
  </si>
  <si>
    <t>tankConfigurationID</t>
  </si>
  <si>
    <t>DeviceconfigurationID</t>
  </si>
  <si>
    <t>estimate of the maximum sustained power output by the WEC (all generators) that is used to determine the capacity of the supporting electrical infrastructure</t>
  </si>
  <si>
    <t>Target maximum sustained power 
(W)</t>
  </si>
  <si>
    <t>Type of Wave
(text)</t>
  </si>
  <si>
    <t>Wave Spectrum Type
(text)</t>
  </si>
  <si>
    <t>Enter method for calculating spreading, such as Cosine-Squared or Cosine-2s</t>
  </si>
  <si>
    <t>Tank configuration identifier from column A on the Setup Tab</t>
  </si>
  <si>
    <t>Device configuration identifier from column A on the Characteristics Tab</t>
  </si>
  <si>
    <t xml:space="preserve">Array Configuration 
(if applicable, text)
</t>
  </si>
  <si>
    <t>Oscillating Surge Wave Converter</t>
  </si>
  <si>
    <r>
      <t>Mass Moment of Inertias 
(kg m</t>
    </r>
    <r>
      <rPr>
        <vertAlign val="superscript"/>
        <sz val="11"/>
        <color theme="1"/>
        <rFont val="Calibri"/>
        <family val="2"/>
        <scheme val="minor"/>
      </rPr>
      <t>2</t>
    </r>
    <r>
      <rPr>
        <sz val="11"/>
        <color theme="1"/>
        <rFont val="Calibri"/>
        <family val="2"/>
        <scheme val="minor"/>
      </rPr>
      <t>, list)</t>
    </r>
  </si>
  <si>
    <t>Body 2, if applicable</t>
  </si>
  <si>
    <t>Number  used to identify specific tank setup/configuration. Start at 1 and increase for each unique tank configuration</t>
  </si>
  <si>
    <t>Number  used to identify specific device configuration. Start at 1 and increase for each unique device configuration</t>
  </si>
  <si>
    <t>Device Configuration Identifier
(integer)</t>
  </si>
  <si>
    <t>Tank Configuration Identifier
(Integer)</t>
  </si>
  <si>
    <t>Device Configuration Identifier
(Integer)</t>
  </si>
  <si>
    <t>UTC timestamp at start of testing and after wave ramping
(ISO-8601)</t>
  </si>
  <si>
    <t>primaryMotion1</t>
  </si>
  <si>
    <t>primaryMotion1StdDev</t>
  </si>
  <si>
    <t>primaryMotion1Max</t>
  </si>
  <si>
    <t>primaryMotion1Min</t>
  </si>
  <si>
    <t>primaryMotion2</t>
  </si>
  <si>
    <t>primaryMotion2Max</t>
  </si>
  <si>
    <t>primaryMotion2StdDev</t>
  </si>
  <si>
    <t>primaryMotion2Min</t>
  </si>
  <si>
    <t>The name of the body (e.g. Float 2, barge, etc.)</t>
  </si>
  <si>
    <t>datetimeTestStart</t>
  </si>
  <si>
    <r>
      <t>Water Temperature
(</t>
    </r>
    <r>
      <rPr>
        <sz val="11"/>
        <color theme="1"/>
        <rFont val="Calibri"/>
        <family val="2"/>
      </rPr>
      <t>°C)</t>
    </r>
  </si>
  <si>
    <t>waterTemp</t>
  </si>
  <si>
    <t>wavePeakPeriod</t>
  </si>
  <si>
    <t>Number of Mooring lines
(integer, if applicable)</t>
  </si>
  <si>
    <t>numberOfMooringLines</t>
  </si>
  <si>
    <t>numPTO</t>
  </si>
  <si>
    <t>Number of PTOs
(integer)</t>
  </si>
  <si>
    <t>ptoLoadType1</t>
  </si>
  <si>
    <t>ptoLoadAvg1</t>
  </si>
  <si>
    <t>ptoLoadStdDev1</t>
  </si>
  <si>
    <t>ptoLoadStdMax1</t>
  </si>
  <si>
    <t>ptoLoadType2</t>
  </si>
  <si>
    <t>ptoLoadAvg2</t>
  </si>
  <si>
    <t>ptoLoadStdDev2</t>
  </si>
  <si>
    <t>ptoLoadStdMax2</t>
  </si>
  <si>
    <t>Mooring Load - Line 1
(N)</t>
  </si>
  <si>
    <t>Mooring Load  - Line 2
(N)</t>
  </si>
  <si>
    <t>mooringLoadStdDev1</t>
  </si>
  <si>
    <t>mooringLoadMax1</t>
  </si>
  <si>
    <t>mooringLoadMin1</t>
  </si>
  <si>
    <t>mooringLoadStdDev2</t>
  </si>
  <si>
    <t>mooringLoadMax2</t>
  </si>
  <si>
    <t>mooringLoadMin2</t>
  </si>
  <si>
    <t xml:space="preserve">Power at First Stage of Conversion - PTO 1
(Wave Power Input to Device)
(W) </t>
  </si>
  <si>
    <t>Power at Final Stage of Conversion - PTO 1 
(Power Input to Generator)  
(W)</t>
  </si>
  <si>
    <r>
      <t xml:space="preserve">Estimated power transfer, derived from measurements, such as: </t>
    </r>
    <r>
      <rPr>
        <sz val="11"/>
        <color theme="1"/>
        <rFont val="Calibri"/>
        <family val="2"/>
      </rPr>
      <t xml:space="preserve">τ·ω, F·v, or p·Q  </t>
    </r>
  </si>
  <si>
    <t>firstStagePowerXferStdDev1</t>
  </si>
  <si>
    <t>finalStagePowerXferStdDev1</t>
  </si>
  <si>
    <t>Power at Intermediate Stage of Conversion - PTO 1
(Intermediate Stage 2, if applicable)
(W)</t>
  </si>
  <si>
    <t>Power at Intermediate Stage of Conversion - PTO 1
(Intermediate Stage 1, if applicable)
(W)</t>
  </si>
  <si>
    <t xml:space="preserve">Power at First Stage of Conversion - PTO 2
(Wave Power Input to Device)
(W) </t>
  </si>
  <si>
    <t>Power at Intermediate Stage of Conversion - PTO 2
(Intermediate Stage 1, if applicable)
(W)</t>
  </si>
  <si>
    <t>Power at Intermediate Stage of Conversion - PTO 2
(Intermediate Stage 2, if applicable)
(W)</t>
  </si>
  <si>
    <t>Power at Final Stage of Conversion - PTO 2 
(Power Input to Generator)  
(W)</t>
  </si>
  <si>
    <t>firstStagePowerXferStdDev2</t>
  </si>
  <si>
    <t>finalStagePowerXferStdDev2</t>
  </si>
  <si>
    <t>Array Device Identifier
(Integer, if applicable)</t>
  </si>
  <si>
    <t>arrayDeviceID</t>
  </si>
  <si>
    <t>testFacilityName</t>
  </si>
  <si>
    <t>testTankName</t>
  </si>
  <si>
    <t>Scale PTO Setting Description 
(text)</t>
  </si>
  <si>
    <t>Number of PTO chains in the WEC. A PTO chain is a sequential elements from the absorbing element to the generator</t>
  </si>
  <si>
    <t>Wave Height (if Regular Waves) / Significant Wave Height (if Irregular Waves)
(m)</t>
  </si>
  <si>
    <t>Directional Spreading Method
(text)</t>
  </si>
  <si>
    <t>As per IEC/TS 62600-101, Section 7.5</t>
  </si>
  <si>
    <t>Type of Wavemaker, one of the values defined on the Field Values tab</t>
  </si>
  <si>
    <t>Type of Wavemaker</t>
  </si>
  <si>
    <t>Single Piston Paddle - linear</t>
  </si>
  <si>
    <t>Multiple Piston Paddles - linear</t>
  </si>
  <si>
    <t>Single Piston Paddle - complex</t>
  </si>
  <si>
    <t>Multiple Piston Paddles - complex</t>
  </si>
  <si>
    <t>Paddle rotates about a pin, typically at the bottom</t>
  </si>
  <si>
    <t>Paddle can translate and rotate</t>
  </si>
  <si>
    <t xml:space="preserve">Single Chamber Pneumatic </t>
  </si>
  <si>
    <t xml:space="preserve">Multiple Chamber Pneumatic </t>
  </si>
  <si>
    <t>Single Hinge Paddle</t>
  </si>
  <si>
    <t>Multiple Hinge Paddles</t>
  </si>
  <si>
    <t>Paddle only translates  forward and backward, but does not rotate</t>
  </si>
  <si>
    <t>wavemakerType</t>
  </si>
  <si>
    <t>Number of Wavemaker Banks
(integer)</t>
  </si>
  <si>
    <t>numberWavemakerBanks</t>
  </si>
  <si>
    <t>tankDirection</t>
  </si>
  <si>
    <t>The range of wave directions that can be produced by the tank, for unidirectional wavemakers, enter 0.0° to 0.0°</t>
  </si>
  <si>
    <t>Wavemaker Type
(text)</t>
  </si>
  <si>
    <t>Wind</t>
  </si>
  <si>
    <t>Ice</t>
  </si>
  <si>
    <t>Current</t>
  </si>
  <si>
    <t>otherTankCapablities</t>
  </si>
  <si>
    <t>otherTankCapablitiesUsed</t>
  </si>
  <si>
    <t>Wave Absorption
(text)</t>
  </si>
  <si>
    <t>One of Active or Passive</t>
  </si>
  <si>
    <t>waveAbsorption</t>
  </si>
  <si>
    <t>Slope of bottom near WEC</t>
  </si>
  <si>
    <t>bottomSlope</t>
  </si>
  <si>
    <t>Bottom Slope
(xx.x°)</t>
  </si>
  <si>
    <t>Bottom Type
(text)</t>
  </si>
  <si>
    <t>One of hard or sediment</t>
  </si>
  <si>
    <r>
      <t>Tank Directional Capabilities
(xx.x</t>
    </r>
    <r>
      <rPr>
        <sz val="11"/>
        <color theme="1"/>
        <rFont val="Calibri"/>
        <family val="2"/>
      </rPr>
      <t xml:space="preserve">° to xx.x°) </t>
    </r>
  </si>
  <si>
    <t>Other Tank Capabilities
(text, list)</t>
  </si>
  <si>
    <t>Other Tank Capabilities Used
(text, list)</t>
  </si>
  <si>
    <t>Other capabilities, one of the values defined on the Field Values tab</t>
  </si>
  <si>
    <t>Other capabilities used in the test, one of the values defined on the Field Values tab - only list capabilities used</t>
  </si>
  <si>
    <t>bottomType</t>
  </si>
  <si>
    <r>
      <t xml:space="preserve">For runs with stationary environmental and stationary control conditions:
      1) for a single device test, please provide one entry (one row) for each test that is run during the testing campaign.
      2) for an array test, please provide one entry (one row) for each device and repeat these number of rows for each test that is run during the testing campaign. Only fill in the timestamp, Test Overview and Test Environment for the first row of each test
For runs with multiple environmental conditions and/or multiple control settings, as possible, please provide a separate entry (line) for each section of the test with stationary conditions - e.g. enter them as separate tests.
For multidirectional waves: for tests with multidirectional waves, add an additional line for each additional wave and leave all column entries blank for the additional rows, except for the wave parameters. For array tests, only do this for the first row of each test
Please exclude start-up transients for the analysis used in the data presented in this content model.
</t>
    </r>
    <r>
      <rPr>
        <b/>
        <sz val="11"/>
        <color theme="1"/>
        <rFont val="Calibri"/>
        <family val="2"/>
        <scheme val="minor"/>
      </rPr>
      <t>Required Accompanying Files to be uploaded to the DOE MHKDR</t>
    </r>
    <r>
      <rPr>
        <sz val="11"/>
        <color theme="1"/>
        <rFont val="Calibri"/>
        <family val="2"/>
        <scheme val="minor"/>
      </rPr>
      <t xml:space="preserve">
      1) Please upload all data files (raw and processed measurement) to the MHKDR and record the relevant filenames that correspond to the data presented in each row in the column titled Test Data File. Please only submit data in ASCII csv, MATLAB, TDMS, or excel file formats. Please do not submit binary formats without the required reader.
IEC/TS 62600-100 refers to IEC Technical Specification IEC/TS 62600-100, Marine energy – Wave, tidal and other water current converts- Part 100: Electricity producing wave energy converts – Power performance assessment, Edition 1.0 2012 - 08.  https://webstore.iec.ch/publication/7241&amp;preview=1 
IEC/TS 62600-101 refers to IEC Technical Specification IEC/TS 62600-101, Marine energy - Wave, tidal and other water current converters - Part 101: Wave energy resource assessment and characterization, Edition 1.0 2015 - 06.  https://webstore.iec.ch/publication/22593
ISO-8601 refers to the ISO date and time format standard, http://www.iso.org/iso/home/standards/iso8601.htm
NDBC Technical Document 96-01 refers to the NDBC Technical Document 96-01, Nondirectional and Directional Wave Data Analysis Procedures (http://www.ndbc.noaa.gov/wavemeas.pdf)
Std deviation should be expressed in the same units as the associated value</t>
    </r>
  </si>
  <si>
    <t>This is the time after the basin has reached a steady state and after which, the data are used for analysis
Y-M-DTHH:MM:SS+000</t>
  </si>
  <si>
    <t>Other Tank Capabilities</t>
  </si>
  <si>
    <t>Type of Wave</t>
  </si>
  <si>
    <t>monochromatic head-on</t>
  </si>
  <si>
    <t>monochromatic off-head</t>
  </si>
  <si>
    <t>bichromatic head-on</t>
  </si>
  <si>
    <t>bichromatic varying heads</t>
  </si>
  <si>
    <t>polychromatic long-crested head-on</t>
  </si>
  <si>
    <t>polychromatic long-crested off head</t>
  </si>
  <si>
    <t>polychromatic short crested head-on</t>
  </si>
  <si>
    <t>polychromatic short crested off-head</t>
  </si>
  <si>
    <t>bimodal polychromatic long-crested</t>
  </si>
  <si>
    <t>bimodal polychromatic short-crested</t>
  </si>
  <si>
    <t>Performance</t>
  </si>
  <si>
    <t>WEC Type/Classification (Based on EMEC definitions, http://www.emec.org.uk/marine-energy/wave-devices/ and International Energy Agencies implementing agreement on Ocean Energy Systems (IEA-OES))</t>
  </si>
  <si>
    <t xml:space="preserve">An attenuator is a floating device which operates parallel to the wave direction and effectively rides the waves. Passing waves cause movements along the length of the device. Energy is extracted from this motion.  These types of devices are typically long multi-segment structures. The device motion follows the motion of the waves. </t>
  </si>
  <si>
    <t>Hydraulic without accumulator</t>
  </si>
  <si>
    <t>Hydraulic with accumulator</t>
  </si>
  <si>
    <t>All types of gear boxes</t>
  </si>
  <si>
    <t>Loads - Normal Operation</t>
  </si>
  <si>
    <t>Loads - Ultimate</t>
  </si>
  <si>
    <t>Measure the WEC motion response - seakeeping</t>
  </si>
  <si>
    <t>Primary Motion that affects energy generation
choose one of surge, sway, heave (m), roll, pitch, yaw (deg)</t>
  </si>
  <si>
    <t>WEC Status
(text)</t>
  </si>
  <si>
    <t>PTO Mode
(text)</t>
  </si>
  <si>
    <t>WEC Controller
(test, list)</t>
  </si>
  <si>
    <t>WEC Controller - one or more of the values defined on the Field Values tab.</t>
  </si>
  <si>
    <t>Control Objective
(text)</t>
  </si>
  <si>
    <t xml:space="preserve">Rate of Controller
(Hz)
</t>
  </si>
  <si>
    <t>One or more of the values defined on the Field Values tab.</t>
  </si>
  <si>
    <t>controlObjective</t>
  </si>
  <si>
    <t>controlForeknowledge</t>
  </si>
  <si>
    <t>controlerRate</t>
  </si>
  <si>
    <t>One of Amplitude of motion, phase of motion, both amplitude and phase, or other</t>
  </si>
  <si>
    <t>The rate at which the control parameters (damping, spring, etc.) are updated</t>
  </si>
  <si>
    <t>Wave Controller Foreknowledge
(text)</t>
  </si>
  <si>
    <t>Primary Motion that affects energy generation, if applicable
choose one of surge, sway, heave (m), roll, pitch, yaw (deg), but must be different than in columns AF-AJ</t>
  </si>
  <si>
    <t>PTO Load (dynamic side of power) - PTO 1</t>
  </si>
  <si>
    <t>PTO Load (dynamic side of power) - PTO 2</t>
  </si>
  <si>
    <t>One of surge, sway, heave, roll, pitch, yaw</t>
  </si>
  <si>
    <t>Tow in/out</t>
  </si>
  <si>
    <t>Installation</t>
  </si>
  <si>
    <t>Measure the and response in survival conditions</t>
  </si>
  <si>
    <t>Wave Foreknowledge</t>
  </si>
  <si>
    <t>Spectral</t>
  </si>
  <si>
    <t>Spectral methods assume stationarity in the sea state on the time scale of minutes</t>
  </si>
  <si>
    <t>Estimators</t>
  </si>
  <si>
    <t>Estimators produce limited duration wave foreknowledge with a lower fidelity</t>
  </si>
  <si>
    <t>Deterministic</t>
  </si>
  <si>
    <t>Deterministic foreknowledge identifies the wave height as a function of time at a particular location (i.e. wave-­‐by-­‐wave prediction with correct phasing)</t>
  </si>
  <si>
    <t>Shutdown - not generating</t>
  </si>
  <si>
    <t>Shutdown - safe mode</t>
  </si>
  <si>
    <t>Mode not covered above</t>
  </si>
  <si>
    <t>WEC is not operating and is not in a safe mode</t>
  </si>
  <si>
    <t>WEC is not operating and is in a safe mode</t>
  </si>
  <si>
    <t>WEC Type
(text)</t>
  </si>
  <si>
    <t>Technology Readiness Level
(integer)</t>
  </si>
  <si>
    <t>Technology Performance Level
(integer)</t>
  </si>
  <si>
    <t>Self assessed technology readiness level based on DOE classification (1-9)</t>
  </si>
  <si>
    <t>deviceType</t>
  </si>
  <si>
    <t>technologyReadinessLevel</t>
  </si>
  <si>
    <t>technologyPerformanceLevel</t>
  </si>
  <si>
    <t>Type of WEC classification, one of the values defined on the Field Values tab</t>
  </si>
  <si>
    <r>
      <t xml:space="preserve">Please provide a new row for each unique test setup (e.g. where the device is moved to a new location or where the array configuration is changed, NOT when the device configuration is changed - this is handled in the characteristic tab). 
</t>
    </r>
    <r>
      <rPr>
        <b/>
        <sz val="11"/>
        <color theme="1"/>
        <rFont val="Calibri"/>
        <family val="2"/>
        <scheme val="minor"/>
      </rPr>
      <t>Required Accompanying Files to be uploaded to the DOE MHKDR</t>
    </r>
    <r>
      <rPr>
        <sz val="11"/>
        <color theme="1"/>
        <rFont val="Calibri"/>
        <family val="2"/>
        <scheme val="minor"/>
      </rPr>
      <t xml:space="preserve">
      1) For each test site configuration, please provide the  CAD drawings of the test site layout, including dimensional locations of where the device(s) and instruments are located, all test planning documents, and all test reports.
      2) Please mention the Tank Configuration id in the metadata for any files uploaded to the MHKDR with this submission that reference this configuration.</t>
    </r>
  </si>
  <si>
    <r>
      <t xml:space="preserve">For each unique device configuration (where any device dimension or characteristic changes by more than 5%), please provide a new row of data. 
</t>
    </r>
    <r>
      <rPr>
        <b/>
        <sz val="11"/>
        <color theme="1"/>
        <rFont val="Calibri"/>
        <family val="2"/>
        <scheme val="minor"/>
      </rPr>
      <t xml:space="preserve">Required Accompanying Files to be uploaded to the DOE MHKDR
 </t>
    </r>
    <r>
      <rPr>
        <sz val="11"/>
        <color theme="1"/>
        <rFont val="Calibri"/>
        <family val="2"/>
        <scheme val="minor"/>
      </rPr>
      <t xml:space="preserve">     1) Test Plan(s) and Test Report(s)
      2) For each device configuration,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locations of the center of masses and inertias, coordinate frames used for the data, locations of sensors relative coordinate frames, relative distances between bodies, etc. If a mooring system is used, please include descriptions of each time of line and chain used in the mooring, along with mooring component lengths, locations of connections to the WEC and to the seafloor (tank floor).   Please include the appropriate device configuration ID in the metadata for any files submitted that reference one of the device configurations referenced below.
Note: columns are included for 3 bodies, please insert additional columns for additional bodies, but please keep the same formats.
</t>
    </r>
  </si>
  <si>
    <t>Purpose of test/run
(text, list)</t>
  </si>
  <si>
    <t>primaryMotion1Avg</t>
  </si>
  <si>
    <t>primaryMotion2Avg</t>
  </si>
  <si>
    <t>mooringLoadAvg1</t>
  </si>
  <si>
    <t>mooringLoadAvg2</t>
  </si>
  <si>
    <t>firstStagePowerXferAvg1</t>
  </si>
  <si>
    <t>intStage1PowerXferAvg1</t>
  </si>
  <si>
    <t>intStage1PowerXferStdDev1</t>
  </si>
  <si>
    <t>intStage2PowerXferAvg1</t>
  </si>
  <si>
    <t>intStage2PowerXferStdDev1</t>
  </si>
  <si>
    <t>finalStagePowerXferAvg1</t>
  </si>
  <si>
    <t>firstStagePowerXferAvg2</t>
  </si>
  <si>
    <t>intStage1PowerXferAvg2</t>
  </si>
  <si>
    <t>intStage1PowerXferStdDev2</t>
  </si>
  <si>
    <t>intStage2PowerXferAvg2</t>
  </si>
  <si>
    <t>intStage2PowerXferStdDe2</t>
  </si>
  <si>
    <t>finalStagePowerXferAvg2</t>
  </si>
  <si>
    <t>Data</t>
  </si>
  <si>
    <t>Rick Driscoll, Debbie Brodt-Giles</t>
  </si>
  <si>
    <t>Azura</t>
  </si>
  <si>
    <t>1/15th scale wave tank test</t>
  </si>
  <si>
    <t>Filename</t>
  </si>
  <si>
    <t>WaveCase</t>
  </si>
  <si>
    <t>Damping</t>
  </si>
  <si>
    <t>runTime_s</t>
  </si>
  <si>
    <t>meanPower</t>
  </si>
  <si>
    <t>powerStd</t>
  </si>
  <si>
    <t>fltAngle_mean</t>
  </si>
  <si>
    <t>fltAngle_std</t>
  </si>
  <si>
    <t>fltAngle_min</t>
  </si>
  <si>
    <t>fltAngle_max</t>
  </si>
  <si>
    <t>tau_avg</t>
  </si>
  <si>
    <t>tau_std</t>
  </si>
  <si>
    <t>au_max</t>
  </si>
  <si>
    <t>float</t>
  </si>
  <si>
    <t>hull</t>
  </si>
  <si>
    <t>wc</t>
  </si>
  <si>
    <t>Hs</t>
  </si>
  <si>
    <t>Te</t>
  </si>
  <si>
    <t>Tp</t>
  </si>
  <si>
    <t>J</t>
  </si>
  <si>
    <t>specWidth</t>
  </si>
  <si>
    <t>steepness</t>
  </si>
  <si>
    <t>cos2s</t>
  </si>
  <si>
    <t>bi-directional</t>
  </si>
  <si>
    <t>year</t>
  </si>
  <si>
    <t>mo</t>
  </si>
  <si>
    <t>day</t>
  </si>
  <si>
    <t>hh</t>
  </si>
  <si>
    <t>mm</t>
  </si>
  <si>
    <t>ss</t>
  </si>
  <si>
    <t>wc0_d000_1_1221034715.mat</t>
  </si>
  <si>
    <t>wc0_d200_1_1219104420.mat</t>
  </si>
  <si>
    <t>wc0_d400_1_1219110111.mat</t>
  </si>
  <si>
    <t>wc0_d400_1_1219110153.mat</t>
  </si>
  <si>
    <t>wc0_d550_1_1219112185.mat</t>
  </si>
  <si>
    <t>wc0_d550_2_1219115145.mat</t>
  </si>
  <si>
    <t>wc0_d550_2_1219115166.mat</t>
  </si>
  <si>
    <t>wc0_d700_1_1219124044.mat</t>
  </si>
  <si>
    <t>wc1_d150_1_1219033532.mat</t>
  </si>
  <si>
    <t>wc1_d270_1_1219031467.mat</t>
  </si>
  <si>
    <t>wc1_d330_1_1219023105.mat</t>
  </si>
  <si>
    <t>wc1_d380_1_1219015297.mat</t>
  </si>
  <si>
    <t>wc1_d430_1_1219021225.mat</t>
  </si>
  <si>
    <t>wc1_d430_1_1219021270.mat</t>
  </si>
  <si>
    <t>wc2_d040_1_1219051362.mat</t>
  </si>
  <si>
    <t>wc2_d070_1_1219045387.mat</t>
  </si>
  <si>
    <t>wc2_d100_1_1219043436.mat</t>
  </si>
  <si>
    <t>wc2_d150_1_1219035569.mat</t>
  </si>
  <si>
    <t>wc2_d200_1_1219041525.mat</t>
  </si>
  <si>
    <t>wc3_d400_1_1220100190.mat</t>
  </si>
  <si>
    <t>wc3_d450_1_1220084548.mat</t>
  </si>
  <si>
    <t>wc3_d500_1_1220094149.mat</t>
  </si>
  <si>
    <t>wc3_d550_1_1220092219.mat</t>
  </si>
  <si>
    <t>wc4_d220_1_1220105966.mat</t>
  </si>
  <si>
    <t>wc4_d275_1_1220102066.mat</t>
  </si>
  <si>
    <t>wc4_d275_1_1220103980.mat</t>
  </si>
  <si>
    <t>wc4_d350_1_1219053300.mat</t>
  </si>
  <si>
    <t>wc5_d300_1_1220121834.mat</t>
  </si>
  <si>
    <t>wc5_d375_1_1220115912.mat</t>
  </si>
  <si>
    <t>wc5_d550_1_1220111998.mat</t>
  </si>
  <si>
    <t>wc5_d550_1_1220113928.mat</t>
  </si>
  <si>
    <t>wc6_d150_1_1220014068.mat</t>
  </si>
  <si>
    <t>wc6_d200_1_1220124369.mat</t>
  </si>
  <si>
    <t>wc6_d350_1_1220010773.mat</t>
  </si>
  <si>
    <t>wc7_d100_1_1220024167.mat</t>
  </si>
  <si>
    <t>wc7_d150_1_1220015984.mat</t>
  </si>
  <si>
    <t>wc7_d220_1_1220022062.mat</t>
  </si>
  <si>
    <t>wc8_d250_1_1221032720.mat</t>
  </si>
  <si>
    <t>wc8_d400_1_1221024619.mat</t>
  </si>
  <si>
    <t>wc8_d400_1_1221030551.mat</t>
  </si>
  <si>
    <t>linearDamping, 0</t>
  </si>
  <si>
    <t>linearDamping, 40</t>
  </si>
  <si>
    <t>linearDamping, 100</t>
  </si>
  <si>
    <t>linearDamping, 150</t>
  </si>
  <si>
    <t>linearDamping, 200</t>
  </si>
  <si>
    <t>linearDamping, 220</t>
  </si>
  <si>
    <t>linearDamping, 250</t>
  </si>
  <si>
    <t>linearDamping, 270</t>
  </si>
  <si>
    <t>linearDamping, 275</t>
  </si>
  <si>
    <t>linearDamping, 300</t>
  </si>
  <si>
    <t>linearDamping, 330</t>
  </si>
  <si>
    <t>linearDamping, 350</t>
  </si>
  <si>
    <t>linearDamping, 375</t>
  </si>
  <si>
    <t>linearDamping, 380</t>
  </si>
  <si>
    <t>linearDamping, 400</t>
  </si>
  <si>
    <t>linearDamping, 430</t>
  </si>
  <si>
    <t>linearDamping, 450</t>
  </si>
  <si>
    <t>linearDamping, 500</t>
  </si>
  <si>
    <t>linearDamping, 550</t>
  </si>
  <si>
    <t>linearDamping, 700</t>
  </si>
  <si>
    <t>normal operation, damping PTO</t>
  </si>
  <si>
    <t>normal operation, HIL Hydraulic PTO</t>
  </si>
  <si>
    <t>UTC Time</t>
  </si>
  <si>
    <t>tank_config</t>
  </si>
  <si>
    <t>test purpose</t>
  </si>
  <si>
    <t xml:space="preserve"> </t>
  </si>
  <si>
    <t>Inf</t>
  </si>
  <si>
    <t>pitch</t>
  </si>
  <si>
    <t>Nm</t>
  </si>
  <si>
    <t>2017-12-21-15:47:15-04</t>
  </si>
  <si>
    <t>2017-12-19-10:44:20-04</t>
  </si>
  <si>
    <t>2017-12-19-11:01:11-04</t>
  </si>
  <si>
    <t>2017-12-19-11:01:53-04</t>
  </si>
  <si>
    <t>2017-12-19-11:21:85-04</t>
  </si>
  <si>
    <t>2017-12-19-11:51:45-04</t>
  </si>
  <si>
    <t>2017-12-19-11:51:66-04</t>
  </si>
  <si>
    <t>2017-12-19-12:40:44-04</t>
  </si>
  <si>
    <t>2017-12-19-15:35:32-04</t>
  </si>
  <si>
    <t>2017-12-19-15:14:67-04</t>
  </si>
  <si>
    <t>2017-12-19-14:31:05-04</t>
  </si>
  <si>
    <t>2017-12-19-13:52:97-04</t>
  </si>
  <si>
    <t>2017-12-19-14:12:25-04</t>
  </si>
  <si>
    <t>2017-12-19-14:12:70-04</t>
  </si>
  <si>
    <t>2017-12-19-17:13:62-04</t>
  </si>
  <si>
    <t>2017-12-19-16:53:87-04</t>
  </si>
  <si>
    <t>2017-12-19-16:34:36-04</t>
  </si>
  <si>
    <t>2017-12-19-15:55:69-04</t>
  </si>
  <si>
    <t>2017-12-19-16:15:25-04</t>
  </si>
  <si>
    <t>2017-12-20-10:01:90-04</t>
  </si>
  <si>
    <t>2017-12-20-08:45:48-04</t>
  </si>
  <si>
    <t>2017-12-20-09:41:49-04</t>
  </si>
  <si>
    <t>2017-12-20-09:22:19-04</t>
  </si>
  <si>
    <t>2017-12-20-10:59:66-04</t>
  </si>
  <si>
    <t>2017-12-20-10:20:66-04</t>
  </si>
  <si>
    <t>2017-12-20-10:39:80-04</t>
  </si>
  <si>
    <t>2017-12-19-17:33:00-04</t>
  </si>
  <si>
    <t>2017-12-20-12:18:34-04</t>
  </si>
  <si>
    <t>2017-12-20-11:59:12-04</t>
  </si>
  <si>
    <t>2017-12-20-11:19:98-04</t>
  </si>
  <si>
    <t>2017-12-20-11:39:28-04</t>
  </si>
  <si>
    <t>2017-12-20-13:40:68-04</t>
  </si>
  <si>
    <t>2017-12-20-12:43:69-04</t>
  </si>
  <si>
    <t>2017-12-20-13:07:73-04</t>
  </si>
  <si>
    <t>2017-12-20-14:41:67-04</t>
  </si>
  <si>
    <t>2017-12-20-13:59:84-04</t>
  </si>
  <si>
    <t>2017-12-20-14:20:62-04</t>
  </si>
  <si>
    <t>2017-12-21-15:27:20-04</t>
  </si>
  <si>
    <t>2017-12-21-14:46:19-04</t>
  </si>
  <si>
    <t>2017-12-21-15:05:51-04</t>
  </si>
  <si>
    <t>wc10_ex3_0201010353.mat</t>
  </si>
  <si>
    <t>wc10_ex6_0201014854.mat</t>
  </si>
  <si>
    <t>wc10_ex7_0201025698.mat</t>
  </si>
  <si>
    <t>wc1_h1_0131105491.mat</t>
  </si>
  <si>
    <t>wc2_h1_0131111157.mat</t>
  </si>
  <si>
    <t>wc3_h1_0131113155.mat</t>
  </si>
  <si>
    <t>wc4_h1_0131115246.mat</t>
  </si>
  <si>
    <t>wc5_h1_0131022731.mat</t>
  </si>
  <si>
    <t>wc6_h1_0131024803.mat</t>
  </si>
  <si>
    <t>wc7_h1_0201034648.mat</t>
  </si>
  <si>
    <t>wc8_h1_0201040540.mat</t>
  </si>
  <si>
    <t>hydPower_avg</t>
  </si>
  <si>
    <t>hydPower_std</t>
  </si>
  <si>
    <t>hydraulic, motor coeff: 1.8</t>
  </si>
  <si>
    <t>hydraulic, motor coeff: 2.8</t>
  </si>
  <si>
    <t>hydraulic, motor coeff: 5</t>
  </si>
  <si>
    <t>hydraulic, motor coeff: 5.4</t>
  </si>
  <si>
    <t>hydraulic, motor coeff: 6</t>
  </si>
  <si>
    <t>wc6_ex1_0201102818.mat</t>
  </si>
  <si>
    <t>wc6_ex2_0201105556.mat</t>
  </si>
  <si>
    <t>wc9_ex1_0201111779.mat</t>
  </si>
  <si>
    <t>wc9_ex6_0201021452.mat</t>
  </si>
  <si>
    <t>Pto Mode</t>
  </si>
  <si>
    <t>wc10_ex1_0201120039.mat</t>
  </si>
  <si>
    <t>wc10_ex2_0201123282.mat</t>
  </si>
  <si>
    <t>wc10_ex4_0201123917.mat</t>
  </si>
  <si>
    <t>wc10_ex5_0201012633.mat</t>
  </si>
  <si>
    <t>wc9_ex2_0201112736.mat</t>
  </si>
  <si>
    <t>wc9_ex3_0201113646.mat</t>
  </si>
  <si>
    <t>wc9_ex4_0201114749.mat</t>
  </si>
  <si>
    <t>wc9_ex5_0201115344.mat</t>
  </si>
  <si>
    <t>hydraulic, power loss</t>
  </si>
  <si>
    <t>hydraulic, motor coeff: 3</t>
  </si>
  <si>
    <t>hydraulic, motor coeff: 4</t>
  </si>
  <si>
    <t>survival configuration, HIL Hydraulic PTO</t>
  </si>
  <si>
    <t>survival configuration, Damping PTO</t>
  </si>
  <si>
    <t xml:space="preserve"> Alfond Wind/Wave Ocean Engineering Lab</t>
  </si>
  <si>
    <t>University of Maine Advanced Structures and Composites Center</t>
  </si>
  <si>
    <r>
      <t>+60.0</t>
    </r>
    <r>
      <rPr>
        <sz val="11"/>
        <color theme="1"/>
        <rFont val="Calibri"/>
        <family val="2"/>
      </rPr>
      <t>° to -60.0°</t>
    </r>
  </si>
  <si>
    <t>Active</t>
  </si>
  <si>
    <t>hard</t>
  </si>
  <si>
    <r>
      <t>00.0</t>
    </r>
    <r>
      <rPr>
        <sz val="11"/>
        <color theme="1"/>
        <rFont val="Calibri"/>
        <family val="2"/>
      </rPr>
      <t>°</t>
    </r>
  </si>
  <si>
    <t>Single Device</t>
  </si>
  <si>
    <t>wc6_ex3_0201023555.mat</t>
  </si>
  <si>
    <t>Azura Demonstration at the navy's Wave Energy Test Site</t>
  </si>
  <si>
    <t>DE-EE0006923</t>
  </si>
  <si>
    <t>?, 158.4, ?, ?, ?, ?</t>
  </si>
  <si>
    <t>?, 4.6, ?, ?, ?, ?</t>
  </si>
  <si>
    <t>?, ?, ?, ?, ?, ?</t>
  </si>
  <si>
    <t>Northwest Energy Innovations</t>
  </si>
  <si>
    <t>UTC Date</t>
  </si>
  <si>
    <t>NWEI Filename</t>
  </si>
  <si>
    <t>NWEI csv</t>
  </si>
  <si>
    <t>UMO Motion Filename</t>
  </si>
  <si>
    <t>2018-01-31-10:54:91-04</t>
  </si>
  <si>
    <t>2018-01-31-11:11:57-04</t>
  </si>
  <si>
    <t>2018-01-31-11:31:55-04</t>
  </si>
  <si>
    <t>2018-01-31-11:52:46-04</t>
  </si>
  <si>
    <t>2018-01-31-14:27:31-04</t>
  </si>
  <si>
    <t>2018-01-31-14:48:03-04</t>
  </si>
  <si>
    <t>2018-02-01-15:46:48-04</t>
  </si>
  <si>
    <t>2018-02-01-16:05:40-04</t>
  </si>
  <si>
    <t>2018-02-01-10:28:18-04</t>
  </si>
  <si>
    <t>2018-02-01-12:00:39-04</t>
  </si>
  <si>
    <t>2018-02-01-12:32:82-04</t>
  </si>
  <si>
    <t>2018-02-01-13:03:53-04</t>
  </si>
  <si>
    <t>2018-02-01-12:39:17-04</t>
  </si>
  <si>
    <t>2018-02-01-13:26:33-04</t>
  </si>
  <si>
    <t>2018-02-01-13:48:54-04</t>
  </si>
  <si>
    <t>2018-02-01-14:56:98-04</t>
  </si>
  <si>
    <t>2018-02-01-14:35:55-04</t>
  </si>
  <si>
    <t>2018-02-01-10:55:56-04</t>
  </si>
  <si>
    <t>2018-02-01-11:17:79-04</t>
  </si>
  <si>
    <t>2018-02-01-11:27:36-04</t>
  </si>
  <si>
    <t>2018-02-01-11:36:46-04</t>
  </si>
  <si>
    <t>2018-02-01-11:47:49-04</t>
  </si>
  <si>
    <t>2018-02-01-11:53:44-04</t>
  </si>
  <si>
    <t>2018-02-01-14:14:52-04</t>
  </si>
  <si>
    <t>wc0_d000_1_1221034715.csv</t>
  </si>
  <si>
    <t>wc0_d200_1_1219104420.csv</t>
  </si>
  <si>
    <t>wc0_d400_1_1219110111.csv</t>
  </si>
  <si>
    <t>wc0_d400_1_1219110153.csv</t>
  </si>
  <si>
    <t>wc0_d550_1_1219112185.csv</t>
  </si>
  <si>
    <t>wc0_d550_2_1219115145.csv</t>
  </si>
  <si>
    <t>wc0_d550_2_1219115166.csv</t>
  </si>
  <si>
    <t>wc0_d700_1_1219124044.csv</t>
  </si>
  <si>
    <t>wc1_d150_1_1219033532.csv</t>
  </si>
  <si>
    <t>wc1_d270_1_1219031467.csv</t>
  </si>
  <si>
    <t>wc1_d330_1_1219023105.csv</t>
  </si>
  <si>
    <t>wc1_d380_1_1219015297.csv</t>
  </si>
  <si>
    <t>wc1_d430_1_1219021225.csv</t>
  </si>
  <si>
    <t>wc1_d430_1_1219021270.csv</t>
  </si>
  <si>
    <t>wc2_d040_1_1219051362.csv</t>
  </si>
  <si>
    <t>wc2_d070_1_1219045387.csv</t>
  </si>
  <si>
    <t>wc2_d100_1_1219043436.csv</t>
  </si>
  <si>
    <t>wc2_d150_1_1219035569.csv</t>
  </si>
  <si>
    <t>wc2_d200_1_1219041525.csv</t>
  </si>
  <si>
    <t>wc3_d400_1_1220100190.csv</t>
  </si>
  <si>
    <t>wc3_d450_1_1220084548.csv</t>
  </si>
  <si>
    <t>wc3_d500_1_1220094149.csv</t>
  </si>
  <si>
    <t>wc3_d550_1_1220092219.csv</t>
  </si>
  <si>
    <t>wc4_d220_1_1220105966.csv</t>
  </si>
  <si>
    <t>wc4_d275_1_1220102066.csv</t>
  </si>
  <si>
    <t>wc4_d275_1_1220103980.csv</t>
  </si>
  <si>
    <t>wc4_d350_1_1219053300.csv</t>
  </si>
  <si>
    <t>wc5_d300_1_1220121834.csv</t>
  </si>
  <si>
    <t>wc5_d375_1_1220115912.csv</t>
  </si>
  <si>
    <t>wc5_d550_1_1220111998.csv</t>
  </si>
  <si>
    <t>wc5_d550_1_1220113928.csv</t>
  </si>
  <si>
    <t>wc6_d150_1_1220014068.csv</t>
  </si>
  <si>
    <t>wc6_d200_1_1220124369.csv</t>
  </si>
  <si>
    <t>wc6_d350_1_1220010773.csv</t>
  </si>
  <si>
    <t>wc7_d100_1_1220024167.csv</t>
  </si>
  <si>
    <t>wc7_d150_1_1220015984.csv</t>
  </si>
  <si>
    <t>wc7_d220_1_1220022062.csv</t>
  </si>
  <si>
    <t>wc8_d250_1_1221032720.csv</t>
  </si>
  <si>
    <t>wc8_d400_1_1221024619.csv</t>
  </si>
  <si>
    <t>wc8_d400_1_1221030551.csv</t>
  </si>
  <si>
    <t>wc1_h1_0131105491.csv</t>
  </si>
  <si>
    <t>wc2_h1_0131111157.csv</t>
  </si>
  <si>
    <t>wc3_h1_0131113155.csv</t>
  </si>
  <si>
    <t>wc4_h1_0131115246.csv</t>
  </si>
  <si>
    <t>wc5_h1_0131022731.csv</t>
  </si>
  <si>
    <t>wc6_h1_0131024803.csv</t>
  </si>
  <si>
    <t>wc7_h1_0201034648.csv</t>
  </si>
  <si>
    <t>wc8_h1_0201040540.csv</t>
  </si>
  <si>
    <t>wc6_ex1_0201102818.csv</t>
  </si>
  <si>
    <t>wc10_ex1_0201120039.csv</t>
  </si>
  <si>
    <t>wc10_ex2_0201123282.csv</t>
  </si>
  <si>
    <t>wc10_ex3_0201010353.csv</t>
  </si>
  <si>
    <t>wc10_ex4_0201123917.csv</t>
  </si>
  <si>
    <t>wc10_ex5_0201012633.csv</t>
  </si>
  <si>
    <t>wc10_ex6_0201014854.csv</t>
  </si>
  <si>
    <t>wc10_ex7_0201025698.csv</t>
  </si>
  <si>
    <t>wc6_ex3_0201023555.csv</t>
  </si>
  <si>
    <t>wc6_ex2_0201105556.csv</t>
  </si>
  <si>
    <t>wc9_ex1_0201111779.csv</t>
  </si>
  <si>
    <t>wc9_ex2_0201112736.csv</t>
  </si>
  <si>
    <t>wc9_ex3_0201113646.csv</t>
  </si>
  <si>
    <t>wc9_ex4_0201114749.csv</t>
  </si>
  <si>
    <t>wc9_ex5_0201115344.csv</t>
  </si>
  <si>
    <t>wc9_ex6_0201021452.csv</t>
  </si>
  <si>
    <t>UMO Processed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</si>
</sst>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00"/>
    <numFmt numFmtId="167" formatCode="0.000"/>
    <numFmt numFmtId="168" formatCode="0.0000"/>
  </numFmts>
  <fonts count="14" x14ac:knownFonts="1">
    <font>
      <sz val="11"/>
      <color theme="1"/>
      <name val="Calibri"/>
      <family val="2"/>
      <scheme val="minor"/>
    </font>
    <font>
      <sz val="11"/>
      <name val="Calibri"/>
      <family val="2"/>
      <scheme val="minor"/>
    </font>
    <font>
      <sz val="11"/>
      <color theme="1"/>
      <name val="Calibri"/>
      <family val="2"/>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sz val="9.35"/>
      <color theme="1"/>
      <name val="Calibri"/>
      <family val="2"/>
    </font>
    <font>
      <vertAlign val="superscript"/>
      <sz val="11"/>
      <color theme="1"/>
      <name val="Calibri"/>
      <family val="2"/>
      <scheme val="minor"/>
    </font>
    <font>
      <sz val="11"/>
      <color rgb="FFFF0000"/>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s>
  <cellStyleXfs count="3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7">
    <xf numFmtId="0" fontId="0" fillId="0" borderId="0" xfId="0"/>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4" borderId="0" xfId="0" applyFill="1" applyAlignment="1">
      <alignment wrapText="1"/>
    </xf>
    <xf numFmtId="0" fontId="0" fillId="2" borderId="1" xfId="0" applyFont="1" applyFill="1" applyBorder="1" applyAlignment="1">
      <alignment vertical="center" wrapText="1"/>
    </xf>
    <xf numFmtId="0" fontId="0" fillId="0" borderId="1" xfId="0" applyBorder="1"/>
    <xf numFmtId="0" fontId="0" fillId="0" borderId="1" xfId="0" applyBorder="1" applyAlignment="1">
      <alignment vertical="center" wrapText="1"/>
    </xf>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7" xfId="0" applyBorder="1"/>
    <xf numFmtId="0" fontId="5" fillId="0" borderId="8" xfId="0" applyFont="1" applyBorder="1" applyAlignment="1">
      <alignment wrapText="1"/>
    </xf>
    <xf numFmtId="0" fontId="0" fillId="0" borderId="10" xfId="0" applyBorder="1"/>
    <xf numFmtId="0" fontId="0" fillId="0" borderId="10" xfId="0" applyBorder="1" applyAlignment="1">
      <alignment vertical="top"/>
    </xf>
    <xf numFmtId="0" fontId="0" fillId="0" borderId="12" xfId="0" applyBorder="1"/>
    <xf numFmtId="0" fontId="0" fillId="0" borderId="13" xfId="0" applyBorder="1" applyAlignment="1">
      <alignment wrapText="1"/>
    </xf>
    <xf numFmtId="0" fontId="0" fillId="5" borderId="0" xfId="0" applyFill="1"/>
    <xf numFmtId="0" fontId="7" fillId="5" borderId="0" xfId="0" applyFont="1" applyFill="1"/>
    <xf numFmtId="0" fontId="7" fillId="0" borderId="9" xfId="0" applyFont="1" applyBorder="1" applyAlignment="1">
      <alignment wrapText="1"/>
    </xf>
    <xf numFmtId="0" fontId="7" fillId="0" borderId="11" xfId="0" applyFont="1" applyBorder="1" applyAlignment="1">
      <alignment wrapText="1"/>
    </xf>
    <xf numFmtId="0" fontId="7" fillId="0" borderId="11" xfId="0" applyFont="1" applyBorder="1" applyAlignment="1">
      <alignment horizontal="left" vertical="top" wrapText="1"/>
    </xf>
    <xf numFmtId="0" fontId="7" fillId="0" borderId="14" xfId="0" applyFont="1" applyBorder="1" applyAlignment="1">
      <alignment wrapText="1"/>
    </xf>
    <xf numFmtId="0" fontId="0" fillId="0" borderId="15" xfId="0" applyBorder="1"/>
    <xf numFmtId="0" fontId="0" fillId="0" borderId="5" xfId="0" applyBorder="1" applyAlignment="1">
      <alignment wrapText="1"/>
    </xf>
    <xf numFmtId="0" fontId="7" fillId="0" borderId="16" xfId="0" applyFont="1" applyBorder="1" applyAlignment="1">
      <alignment wrapText="1"/>
    </xf>
    <xf numFmtId="0" fontId="7" fillId="5" borderId="0" xfId="0" applyFont="1" applyFill="1" applyAlignment="1">
      <alignment wrapText="1"/>
    </xf>
    <xf numFmtId="0" fontId="0" fillId="5" borderId="0" xfId="0" applyFill="1" applyAlignment="1">
      <alignment wrapText="1"/>
    </xf>
    <xf numFmtId="0" fontId="5" fillId="4" borderId="0" xfId="0" applyFont="1" applyFill="1" applyAlignment="1">
      <alignment wrapText="1"/>
    </xf>
    <xf numFmtId="0" fontId="10" fillId="0" borderId="0" xfId="0" applyFont="1" applyFill="1" applyAlignment="1"/>
    <xf numFmtId="0" fontId="0" fillId="0" borderId="0" xfId="0" applyBorder="1"/>
    <xf numFmtId="0" fontId="0" fillId="0" borderId="0" xfId="0" applyBorder="1" applyAlignment="1">
      <alignment wrapText="1"/>
    </xf>
    <xf numFmtId="0" fontId="0" fillId="0" borderId="0" xfId="0" applyBorder="1" applyAlignment="1">
      <alignment vertical="center" wrapText="1"/>
    </xf>
    <xf numFmtId="0" fontId="0" fillId="0" borderId="17" xfId="0" applyBorder="1"/>
    <xf numFmtId="0" fontId="0" fillId="0" borderId="17" xfId="0" applyBorder="1" applyAlignment="1">
      <alignment vertical="center" wrapText="1"/>
    </xf>
    <xf numFmtId="0" fontId="0" fillId="7" borderId="1" xfId="0" applyFill="1" applyBorder="1" applyAlignment="1">
      <alignment vertical="top" wrapText="1"/>
    </xf>
    <xf numFmtId="0" fontId="1" fillId="7" borderId="1" xfId="0" applyFont="1" applyFill="1" applyBorder="1" applyAlignment="1">
      <alignment vertical="top" wrapText="1"/>
    </xf>
    <xf numFmtId="0" fontId="0" fillId="7" borderId="1" xfId="0" applyFill="1" applyBorder="1" applyAlignment="1">
      <alignment horizontal="left" vertical="top" wrapText="1"/>
    </xf>
    <xf numFmtId="0" fontId="1" fillId="7" borderId="1" xfId="0" applyFont="1" applyFill="1" applyBorder="1" applyAlignment="1">
      <alignment horizontal="left" vertical="top" wrapText="1"/>
    </xf>
    <xf numFmtId="0" fontId="5" fillId="4" borderId="0" xfId="0" applyFont="1" applyFill="1" applyAlignment="1">
      <alignment wrapText="1"/>
    </xf>
    <xf numFmtId="0" fontId="10" fillId="5" borderId="1" xfId="0" applyFont="1" applyFill="1" applyBorder="1" applyAlignment="1">
      <alignment wrapText="1"/>
    </xf>
    <xf numFmtId="0" fontId="0" fillId="8" borderId="1" xfId="0" applyFill="1" applyBorder="1" applyAlignment="1">
      <alignment wrapText="1"/>
    </xf>
    <xf numFmtId="0" fontId="0" fillId="8" borderId="1" xfId="0" applyFill="1" applyBorder="1" applyAlignment="1">
      <alignment wrapText="1"/>
    </xf>
    <xf numFmtId="0" fontId="0" fillId="0" borderId="0" xfId="0" applyAlignment="1">
      <alignment wrapText="1"/>
    </xf>
    <xf numFmtId="0" fontId="0" fillId="4" borderId="0" xfId="0" applyFill="1" applyAlignment="1">
      <alignment wrapText="1"/>
    </xf>
    <xf numFmtId="0" fontId="10" fillId="5" borderId="1" xfId="0" applyFont="1" applyFill="1" applyBorder="1" applyAlignment="1"/>
    <xf numFmtId="0" fontId="0" fillId="2" borderId="2" xfId="0" applyFill="1" applyBorder="1" applyAlignment="1">
      <alignment wrapText="1"/>
    </xf>
    <xf numFmtId="0" fontId="0" fillId="0" borderId="0" xfId="0"/>
    <xf numFmtId="0" fontId="0" fillId="5" borderId="0" xfId="0" applyFill="1" applyAlignment="1">
      <alignment wrapText="1"/>
    </xf>
    <xf numFmtId="0" fontId="0" fillId="0" borderId="0" xfId="0"/>
    <xf numFmtId="0" fontId="0" fillId="5" borderId="0" xfId="0" applyFill="1" applyAlignment="1">
      <alignment wrapText="1"/>
    </xf>
    <xf numFmtId="0" fontId="0" fillId="7" borderId="1" xfId="0" applyFill="1" applyBorder="1" applyAlignment="1">
      <alignment horizontal="left" vertical="top"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vertical="center" wrapText="1"/>
    </xf>
    <xf numFmtId="0" fontId="0" fillId="0" borderId="0" xfId="0"/>
    <xf numFmtId="0" fontId="0" fillId="0" borderId="1" xfId="0" applyBorder="1" applyAlignment="1">
      <alignment wrapText="1"/>
    </xf>
    <xf numFmtId="0" fontId="3" fillId="0" borderId="1" xfId="37" applyBorder="1" applyAlignment="1">
      <alignment wrapText="1"/>
    </xf>
    <xf numFmtId="0" fontId="0" fillId="0" borderId="1" xfId="0" applyBorder="1" applyAlignment="1">
      <alignment horizontal="left" vertical="top"/>
    </xf>
    <xf numFmtId="0" fontId="0" fillId="0" borderId="1" xfId="0" applyFill="1" applyBorder="1" applyAlignment="1">
      <alignment wrapText="1"/>
    </xf>
    <xf numFmtId="0" fontId="6" fillId="0" borderId="0" xfId="0" applyFont="1" applyBorder="1" applyAlignment="1">
      <alignment horizontal="left"/>
    </xf>
    <xf numFmtId="0" fontId="0" fillId="2" borderId="6" xfId="0" applyFill="1" applyBorder="1" applyAlignment="1">
      <alignment horizontal="center" vertical="center" wrapText="1"/>
    </xf>
    <xf numFmtId="0" fontId="5" fillId="0" borderId="1" xfId="0" quotePrefix="1" applyFont="1" applyBorder="1" applyAlignment="1">
      <alignment horizontal="left" wrapText="1"/>
    </xf>
    <xf numFmtId="0" fontId="0" fillId="9" borderId="2" xfId="0" applyFill="1" applyBorder="1" applyAlignment="1">
      <alignment wrapText="1"/>
    </xf>
    <xf numFmtId="0" fontId="5" fillId="4" borderId="0" xfId="0" applyFont="1" applyFill="1" applyAlignment="1"/>
    <xf numFmtId="0" fontId="0" fillId="0" borderId="0" xfId="0" applyAlignment="1"/>
    <xf numFmtId="0" fontId="0" fillId="4" borderId="0" xfId="0" applyFill="1" applyAlignment="1">
      <alignment horizontal="left" vertical="top" wrapText="1"/>
    </xf>
    <xf numFmtId="0" fontId="0" fillId="10" borderId="1" xfId="0" applyFill="1" applyBorder="1" applyAlignment="1">
      <alignment wrapText="1"/>
    </xf>
    <xf numFmtId="0" fontId="0" fillId="11" borderId="1" xfId="0" applyFill="1" applyBorder="1" applyAlignment="1">
      <alignment wrapText="1"/>
    </xf>
    <xf numFmtId="0" fontId="0" fillId="0" borderId="0" xfId="0" applyAlignment="1">
      <alignment wrapText="1"/>
    </xf>
    <xf numFmtId="0" fontId="5" fillId="4" borderId="0" xfId="0" applyFont="1" applyFill="1" applyAlignment="1">
      <alignment wrapText="1"/>
    </xf>
    <xf numFmtId="0" fontId="0" fillId="8" borderId="1" xfId="0" applyFill="1" applyBorder="1" applyAlignment="1">
      <alignment wrapText="1"/>
    </xf>
    <xf numFmtId="0" fontId="10" fillId="5" borderId="1" xfId="0" applyFont="1" applyFill="1" applyBorder="1" applyAlignment="1">
      <alignment wrapText="1"/>
    </xf>
    <xf numFmtId="0" fontId="0" fillId="2" borderId="6" xfId="0" applyFill="1" applyBorder="1" applyAlignment="1">
      <alignment horizontal="center" vertical="center" wrapText="1"/>
    </xf>
    <xf numFmtId="0" fontId="0" fillId="4" borderId="0" xfId="0" applyFill="1" applyAlignment="1">
      <alignment vertical="top" wrapText="1"/>
    </xf>
    <xf numFmtId="0" fontId="0" fillId="4" borderId="19" xfId="0" applyFill="1" applyBorder="1" applyAlignment="1">
      <alignment vertical="top" wrapText="1"/>
    </xf>
    <xf numFmtId="0" fontId="13" fillId="3" borderId="2" xfId="0" applyFont="1" applyFill="1" applyBorder="1" applyAlignment="1">
      <alignment wrapText="1"/>
    </xf>
    <xf numFmtId="0" fontId="0" fillId="12" borderId="1" xfId="0" applyFill="1" applyBorder="1" applyAlignment="1">
      <alignment wrapText="1"/>
    </xf>
    <xf numFmtId="0" fontId="5" fillId="0" borderId="0" xfId="0" applyFont="1"/>
    <xf numFmtId="0" fontId="0" fillId="0" borderId="1" xfId="0" applyFill="1" applyBorder="1"/>
    <xf numFmtId="0" fontId="0" fillId="0" borderId="0" xfId="0" applyAlignment="1">
      <alignment vertical="center"/>
    </xf>
    <xf numFmtId="0" fontId="0" fillId="0" borderId="1" xfId="0" applyBorder="1" applyAlignment="1">
      <alignment vertical="center" wrapText="1"/>
    </xf>
    <xf numFmtId="0" fontId="0" fillId="6" borderId="2" xfId="0" applyFont="1" applyFill="1" applyBorder="1" applyAlignment="1">
      <alignment horizontal="center" vertical="top" wrapText="1"/>
    </xf>
    <xf numFmtId="0" fontId="0" fillId="6" borderId="3"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6" borderId="1" xfId="0" applyFont="1" applyFill="1" applyBorder="1" applyAlignment="1">
      <alignment horizontal="left" vertical="top" wrapText="1"/>
    </xf>
    <xf numFmtId="0" fontId="9" fillId="0" borderId="0" xfId="0" applyFont="1" applyAlignment="1">
      <alignment horizontal="left" vertical="center"/>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4" borderId="0" xfId="0" applyFill="1" applyAlignment="1">
      <alignment horizontal="left" vertical="top" wrapText="1"/>
    </xf>
    <xf numFmtId="0" fontId="0" fillId="9" borderId="18" xfId="0" applyFill="1" applyBorder="1" applyAlignment="1">
      <alignment horizontal="center" wrapText="1"/>
    </xf>
    <xf numFmtId="0" fontId="0" fillId="9" borderId="19" xfId="0" applyFill="1" applyBorder="1" applyAlignment="1">
      <alignment horizont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8" borderId="4" xfId="0" applyFill="1" applyBorder="1" applyAlignment="1">
      <alignment horizontal="center" wrapText="1"/>
    </xf>
    <xf numFmtId="0" fontId="0" fillId="4" borderId="0" xfId="0" applyFont="1" applyFill="1" applyAlignment="1">
      <alignment horizontal="left" vertical="top" wrapText="1"/>
    </xf>
    <xf numFmtId="0" fontId="0" fillId="4" borderId="19" xfId="0" applyFont="1" applyFill="1" applyBorder="1" applyAlignment="1">
      <alignment horizontal="left" vertical="top"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2" xfId="0" applyFill="1" applyBorder="1" applyAlignment="1">
      <alignment horizontal="center" wrapText="1"/>
    </xf>
    <xf numFmtId="0" fontId="0" fillId="11" borderId="3" xfId="0" applyFill="1" applyBorder="1" applyAlignment="1">
      <alignment horizontal="center" wrapText="1"/>
    </xf>
    <xf numFmtId="0" fontId="0" fillId="11" borderId="4" xfId="0" applyFill="1" applyBorder="1" applyAlignment="1">
      <alignment horizont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10" borderId="2" xfId="0" applyFill="1" applyBorder="1" applyAlignment="1">
      <alignment horizontal="center" wrapText="1"/>
    </xf>
    <xf numFmtId="0" fontId="0" fillId="10" borderId="3" xfId="0" applyFill="1" applyBorder="1" applyAlignment="1">
      <alignment horizontal="center" wrapText="1"/>
    </xf>
    <xf numFmtId="0" fontId="0" fillId="10" borderId="4" xfId="0" applyFill="1" applyBorder="1" applyAlignment="1">
      <alignment horizontal="center" wrapText="1"/>
    </xf>
    <xf numFmtId="0" fontId="0" fillId="12" borderId="2" xfId="0" applyFill="1" applyBorder="1" applyAlignment="1">
      <alignment horizontal="center" wrapText="1"/>
    </xf>
    <xf numFmtId="0" fontId="0" fillId="12" borderId="3" xfId="0" applyFill="1" applyBorder="1" applyAlignment="1">
      <alignment horizontal="center" wrapText="1"/>
    </xf>
    <xf numFmtId="0" fontId="0" fillId="12" borderId="4" xfId="0" applyFill="1" applyBorder="1" applyAlignment="1">
      <alignment horizont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4" borderId="19" xfId="0" applyFill="1" applyBorder="1" applyAlignment="1">
      <alignment horizontal="left" vertical="top"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3" xfId="0" applyFill="1" applyBorder="1" applyAlignment="1">
      <alignment horizontal="center" wrapText="1"/>
    </xf>
    <xf numFmtId="0" fontId="0" fillId="9" borderId="1" xfId="0" applyFill="1" applyBorder="1" applyAlignment="1">
      <alignment horizontal="center" wrapText="1"/>
    </xf>
    <xf numFmtId="0" fontId="0" fillId="2" borderId="1" xfId="0"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8" fillId="0" borderId="0" xfId="0" applyFont="1" applyAlignment="1">
      <alignment horizontal="left" vertical="center"/>
    </xf>
    <xf numFmtId="11" fontId="0" fillId="0" borderId="0" xfId="0" applyNumberFormat="1"/>
    <xf numFmtId="20" fontId="0" fillId="0" borderId="0" xfId="0" applyNumberFormat="1" applyAlignment="1">
      <alignment wrapText="1"/>
    </xf>
    <xf numFmtId="0" fontId="0" fillId="0" borderId="20" xfId="0" applyFill="1" applyBorder="1"/>
    <xf numFmtId="165" fontId="0" fillId="0" borderId="0" xfId="0" applyNumberFormat="1"/>
    <xf numFmtId="2" fontId="0" fillId="0" borderId="0" xfId="0" applyNumberFormat="1"/>
    <xf numFmtId="167" fontId="0" fillId="0" borderId="0" xfId="0" applyNumberFormat="1"/>
    <xf numFmtId="168" fontId="0" fillId="0" borderId="0" xfId="0" applyNumberFormat="1"/>
    <xf numFmtId="0" fontId="0" fillId="0" borderId="0" xfId="0" applyFill="1" applyBorder="1"/>
    <xf numFmtId="0" fontId="0" fillId="0" borderId="0" xfId="0" applyFill="1" applyBorder="1" applyAlignment="1">
      <alignment vertical="center" wrapText="1"/>
    </xf>
    <xf numFmtId="0" fontId="10" fillId="5" borderId="20" xfId="0" applyFont="1" applyFill="1" applyBorder="1" applyAlignment="1"/>
    <xf numFmtId="2" fontId="0" fillId="0" borderId="0" xfId="0" applyNumberFormat="1" applyBorder="1" applyAlignment="1">
      <alignment wrapText="1"/>
    </xf>
    <xf numFmtId="0" fontId="0" fillId="0" borderId="0" xfId="0" quotePrefix="1" applyAlignment="1">
      <alignment wrapText="1"/>
    </xf>
    <xf numFmtId="17" fontId="0" fillId="6" borderId="1" xfId="0" applyNumberFormat="1" applyFont="1" applyFill="1" applyBorder="1" applyAlignment="1">
      <alignment horizontal="left" vertical="top" wrapText="1"/>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cellStyle name="Normal" xfId="0" builtinId="0"/>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F14"/>
  <sheetViews>
    <sheetView workbookViewId="0">
      <selection activeCell="B9" sqref="B9:D9"/>
    </sheetView>
  </sheetViews>
  <sheetFormatPr defaultColWidth="11.42578125" defaultRowHeight="15" x14ac:dyDescent="0.25"/>
  <cols>
    <col min="1" max="1" width="15.42578125" customWidth="1"/>
    <col min="5" max="5" width="56.140625" customWidth="1"/>
  </cols>
  <sheetData>
    <row r="1" spans="1:6" s="9" customFormat="1" ht="14.1" customHeight="1" x14ac:dyDescent="0.25">
      <c r="A1" s="93" t="s">
        <v>52</v>
      </c>
      <c r="B1" s="93"/>
      <c r="C1" s="93"/>
      <c r="D1" s="93"/>
      <c r="E1" s="93"/>
      <c r="F1" s="93"/>
    </row>
    <row r="2" spans="1:6" s="9" customFormat="1" ht="14.1" customHeight="1" x14ac:dyDescent="0.25">
      <c r="A2" s="93"/>
      <c r="B2" s="93"/>
      <c r="C2" s="93"/>
      <c r="D2" s="93"/>
      <c r="E2" s="93"/>
      <c r="F2" s="93"/>
    </row>
    <row r="3" spans="1:6" s="9" customFormat="1" x14ac:dyDescent="0.25">
      <c r="A3" s="36" t="s">
        <v>84</v>
      </c>
      <c r="B3" s="92" t="s">
        <v>684</v>
      </c>
      <c r="C3" s="92"/>
      <c r="D3" s="92"/>
      <c r="E3" s="38" t="s">
        <v>85</v>
      </c>
      <c r="F3" s="51"/>
    </row>
    <row r="4" spans="1:6" s="9" customFormat="1" x14ac:dyDescent="0.25">
      <c r="A4" s="36" t="s">
        <v>140</v>
      </c>
      <c r="B4" s="92" t="s">
        <v>685</v>
      </c>
      <c r="C4" s="92"/>
      <c r="D4" s="92"/>
      <c r="E4" s="38" t="s">
        <v>86</v>
      </c>
      <c r="F4" s="51"/>
    </row>
    <row r="5" spans="1:6" s="9" customFormat="1" ht="30" x14ac:dyDescent="0.25">
      <c r="A5" s="37" t="s">
        <v>87</v>
      </c>
      <c r="B5" s="156">
        <v>42186</v>
      </c>
      <c r="C5" s="92"/>
      <c r="D5" s="92"/>
      <c r="E5" s="39" t="s">
        <v>141</v>
      </c>
      <c r="F5" s="51"/>
    </row>
    <row r="6" spans="1:6" s="9" customFormat="1" ht="30" x14ac:dyDescent="0.25">
      <c r="A6" s="36" t="s">
        <v>88</v>
      </c>
      <c r="B6" s="156">
        <v>44593</v>
      </c>
      <c r="C6" s="92"/>
      <c r="D6" s="92"/>
      <c r="E6" s="38" t="s">
        <v>89</v>
      </c>
      <c r="F6" s="51"/>
    </row>
    <row r="7" spans="1:6" s="9" customFormat="1" x14ac:dyDescent="0.25">
      <c r="A7" s="36" t="s">
        <v>90</v>
      </c>
      <c r="B7" s="89" t="s">
        <v>499</v>
      </c>
      <c r="C7" s="90"/>
      <c r="D7" s="91"/>
      <c r="E7" s="38" t="s">
        <v>153</v>
      </c>
      <c r="F7" s="51"/>
    </row>
    <row r="8" spans="1:6" s="9" customFormat="1" ht="30" x14ac:dyDescent="0.25">
      <c r="A8" s="36" t="s">
        <v>60</v>
      </c>
      <c r="B8" s="92" t="s">
        <v>689</v>
      </c>
      <c r="C8" s="92"/>
      <c r="D8" s="92"/>
      <c r="E8" s="38" t="s">
        <v>155</v>
      </c>
      <c r="F8" s="28"/>
    </row>
    <row r="9" spans="1:6" s="9" customFormat="1" ht="30" x14ac:dyDescent="0.25">
      <c r="A9" s="36" t="s">
        <v>61</v>
      </c>
      <c r="B9" s="89"/>
      <c r="C9" s="90"/>
      <c r="D9" s="91"/>
      <c r="E9" s="38" t="s">
        <v>154</v>
      </c>
      <c r="F9" s="28"/>
    </row>
    <row r="10" spans="1:6" s="9" customFormat="1" ht="45" x14ac:dyDescent="0.25">
      <c r="A10" s="36" t="s">
        <v>62</v>
      </c>
      <c r="B10" s="89"/>
      <c r="C10" s="90"/>
      <c r="D10" s="91"/>
      <c r="E10" s="38" t="s">
        <v>63</v>
      </c>
      <c r="F10" s="28"/>
    </row>
    <row r="11" spans="1:6" s="9" customFormat="1" ht="45" x14ac:dyDescent="0.25">
      <c r="A11" s="36" t="s">
        <v>0</v>
      </c>
      <c r="B11" s="92"/>
      <c r="C11" s="92"/>
      <c r="D11" s="92"/>
      <c r="E11" s="38" t="s">
        <v>156</v>
      </c>
      <c r="F11" s="28"/>
    </row>
    <row r="12" spans="1:6" s="48" customFormat="1" ht="30" x14ac:dyDescent="0.25">
      <c r="A12" s="52" t="s">
        <v>7</v>
      </c>
      <c r="B12" s="89" t="s">
        <v>500</v>
      </c>
      <c r="C12" s="90"/>
      <c r="D12" s="91"/>
      <c r="E12" s="52" t="s">
        <v>161</v>
      </c>
      <c r="F12" s="49"/>
    </row>
    <row r="13" spans="1:6" ht="15.75" customHeight="1" x14ac:dyDescent="0.25">
      <c r="A13" s="27"/>
      <c r="B13" s="27"/>
      <c r="C13" s="27"/>
      <c r="D13" s="27"/>
      <c r="E13" s="27"/>
      <c r="F13" s="28"/>
    </row>
    <row r="14" spans="1:6" x14ac:dyDescent="0.25">
      <c r="A14" s="27"/>
      <c r="B14" s="27"/>
      <c r="C14" s="27"/>
      <c r="D14" s="27"/>
      <c r="E14" s="27"/>
      <c r="F14" s="27"/>
    </row>
  </sheetData>
  <mergeCells count="11">
    <mergeCell ref="B12:D12"/>
    <mergeCell ref="B11:D11"/>
    <mergeCell ref="A1:F2"/>
    <mergeCell ref="B9:D9"/>
    <mergeCell ref="B10:D10"/>
    <mergeCell ref="B8:D8"/>
    <mergeCell ref="B3:D3"/>
    <mergeCell ref="B4:D4"/>
    <mergeCell ref="B5:D5"/>
    <mergeCell ref="B6:D6"/>
    <mergeCell ref="B7:D7"/>
  </mergeCells>
  <pageMargins left="0.75" right="0.75" top="1" bottom="1" header="0.5" footer="0.5"/>
  <pageSetup paperSize="17"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145DC-968A-49F0-8F4D-3D385F111056}">
  <dimension ref="A1:AQ44"/>
  <sheetViews>
    <sheetView workbookViewId="0">
      <pane xSplit="1" ySplit="1" topLeftCell="B2" activePane="bottomRight" state="frozen"/>
      <selection pane="topRight" activeCell="B1" sqref="B1"/>
      <selection pane="bottomLeft" activeCell="A2" sqref="A2"/>
      <selection pane="bottomRight" activeCell="T25" sqref="T25:T40"/>
    </sheetView>
  </sheetViews>
  <sheetFormatPr defaultRowHeight="15" x14ac:dyDescent="0.25"/>
  <cols>
    <col min="1" max="1" width="25" bestFit="1" customWidth="1"/>
    <col min="2" max="2" width="11" style="62" bestFit="1" customWidth="1"/>
    <col min="3" max="3" width="5" style="62" bestFit="1" customWidth="1"/>
    <col min="4" max="4" width="3.85546875" style="62" bestFit="1" customWidth="1"/>
    <col min="5" max="5" width="4.140625" style="62" bestFit="1" customWidth="1"/>
    <col min="6" max="6" width="3.28515625" style="62" bestFit="1" customWidth="1"/>
    <col min="7" max="7" width="3" style="62" bestFit="1" customWidth="1"/>
    <col min="8" max="8" width="4.42578125" style="62" bestFit="1" customWidth="1"/>
    <col min="9" max="9" width="3" style="62" bestFit="1" customWidth="1"/>
    <col min="10" max="10" width="21.42578125" style="62" bestFit="1" customWidth="1"/>
  </cols>
  <sheetData>
    <row r="1" spans="1:43" x14ac:dyDescent="0.25">
      <c r="C1" s="62" t="s">
        <v>525</v>
      </c>
      <c r="D1" s="62" t="s">
        <v>526</v>
      </c>
      <c r="E1" s="62" t="s">
        <v>527</v>
      </c>
      <c r="F1" s="62" t="s">
        <v>528</v>
      </c>
      <c r="H1" s="62" t="s">
        <v>529</v>
      </c>
      <c r="I1" s="62" t="s">
        <v>530</v>
      </c>
      <c r="J1" s="62" t="s">
        <v>593</v>
      </c>
      <c r="K1" s="62" t="s">
        <v>502</v>
      </c>
      <c r="L1" s="62" t="s">
        <v>503</v>
      </c>
      <c r="M1" s="62" t="s">
        <v>504</v>
      </c>
      <c r="N1" s="62" t="s">
        <v>505</v>
      </c>
      <c r="O1" s="62" t="s">
        <v>506</v>
      </c>
      <c r="P1" s="62" t="s">
        <v>507</v>
      </c>
      <c r="Q1" s="62" t="s">
        <v>508</v>
      </c>
      <c r="R1" s="62" t="s">
        <v>509</v>
      </c>
      <c r="S1" s="62" t="s">
        <v>510</v>
      </c>
      <c r="T1" s="62" t="s">
        <v>511</v>
      </c>
      <c r="U1" s="62" t="s">
        <v>512</v>
      </c>
      <c r="V1" s="62" t="s">
        <v>513</v>
      </c>
      <c r="W1" s="62" t="s">
        <v>651</v>
      </c>
      <c r="X1" s="62" t="s">
        <v>652</v>
      </c>
      <c r="Y1" s="62" t="s">
        <v>594</v>
      </c>
      <c r="Z1" s="62" t="s">
        <v>595</v>
      </c>
      <c r="AA1" s="46" t="s">
        <v>95</v>
      </c>
      <c r="AB1" s="46" t="s">
        <v>149</v>
      </c>
      <c r="AC1" s="46" t="s">
        <v>54</v>
      </c>
      <c r="AD1" s="46" t="s">
        <v>333</v>
      </c>
      <c r="AE1" s="46" t="s">
        <v>292</v>
      </c>
      <c r="AF1" s="46" t="s">
        <v>293</v>
      </c>
      <c r="AG1" s="46" t="s">
        <v>55</v>
      </c>
      <c r="AH1" s="46" t="s">
        <v>294</v>
      </c>
      <c r="AI1" s="46" t="s">
        <v>295</v>
      </c>
      <c r="AJ1" s="46" t="s">
        <v>56</v>
      </c>
      <c r="AK1" s="46" t="s">
        <v>296</v>
      </c>
      <c r="AL1" s="46" t="s">
        <v>297</v>
      </c>
      <c r="AM1" s="46" t="s">
        <v>57</v>
      </c>
      <c r="AN1" s="46" t="s">
        <v>332</v>
      </c>
      <c r="AO1" s="46" t="s">
        <v>298</v>
      </c>
      <c r="AP1" s="153" t="s">
        <v>594</v>
      </c>
      <c r="AQ1" s="153" t="s">
        <v>662</v>
      </c>
    </row>
    <row r="2" spans="1:43" x14ac:dyDescent="0.25">
      <c r="A2" s="62" t="s">
        <v>658</v>
      </c>
      <c r="B2" s="62" t="str">
        <f>LEFT(RIGHT(A2,14),10)</f>
        <v>0201102818</v>
      </c>
      <c r="C2" s="62">
        <v>2018</v>
      </c>
      <c r="D2" s="62">
        <v>2</v>
      </c>
      <c r="E2" s="62">
        <f>_xlfn.NUMBERVALUE(MID(B2,3,2))</f>
        <v>1</v>
      </c>
      <c r="F2" s="147">
        <f>_xlfn.NUMBERVALUE(MID(B2,5,2))</f>
        <v>10</v>
      </c>
      <c r="G2" s="147">
        <f>IF(F2&lt;7,F2+12,F2)</f>
        <v>10</v>
      </c>
      <c r="H2" s="147">
        <f>_xlfn.NUMBERVALUE(MID(B2,7,2))</f>
        <v>28</v>
      </c>
      <c r="I2" s="147">
        <f>_xlfn.NUMBERVALUE(MID(B2,9,2))</f>
        <v>18</v>
      </c>
      <c r="J2" s="62" t="str">
        <f>C2&amp;"-"&amp;TEXT(D2,"00")&amp;"-"&amp;TEXT(E2,"00")&amp;"-"&amp;TEXT(G2,"00")&amp;":"&amp;TEXT(H2,"00")&amp;":"&amp;TEXT(I2,"00")&amp;"-04"</f>
        <v>2018-02-01-10:28:18-04</v>
      </c>
      <c r="K2" s="62">
        <v>6</v>
      </c>
      <c r="L2" s="62">
        <v>500</v>
      </c>
      <c r="M2" s="62">
        <v>964</v>
      </c>
      <c r="N2" s="148">
        <v>5.2329600000000003</v>
      </c>
      <c r="O2" s="148">
        <v>6.9878359999999997</v>
      </c>
      <c r="P2" s="148">
        <v>4.0125099999999998</v>
      </c>
      <c r="Q2" s="148">
        <v>2.1942759999999999</v>
      </c>
      <c r="R2" s="148">
        <v>-2.9094280000000001</v>
      </c>
      <c r="S2" s="148">
        <v>12.276120000000001</v>
      </c>
      <c r="T2" s="148">
        <v>0.51858590000000004</v>
      </c>
      <c r="U2" s="148">
        <v>0.51858590000000004</v>
      </c>
      <c r="V2" s="148">
        <v>175.45939999999999</v>
      </c>
      <c r="W2" s="148"/>
      <c r="X2" s="148"/>
      <c r="Y2">
        <f>VLOOKUP(L2,Sheet3!$E$26:$H$31,4,FALSE)</f>
        <v>29</v>
      </c>
      <c r="Z2" s="60" t="s">
        <v>180</v>
      </c>
      <c r="AA2" s="62" t="str">
        <f>VLOOKUP($K2,waveData!$K$3:$Z$13,2,FALSE)</f>
        <v>polychromatic long-crested head-on</v>
      </c>
      <c r="AB2" s="62" t="str">
        <f>VLOOKUP($K2,waveData!$K$3:$Z$13,3,FALSE)</f>
        <v>Bretschneider Spectrum</v>
      </c>
      <c r="AC2" s="62">
        <f>VLOOKUP($K2,waveData!$K$3:$Z$13,4,FALSE)</f>
        <v>0.20780000000000001</v>
      </c>
      <c r="AD2" s="62">
        <f>VLOOKUP($K2,waveData!$K$3:$Z$13,5,FALSE)</f>
        <v>2.0706000000000002</v>
      </c>
      <c r="AE2" s="62" t="str">
        <f>VLOOKUP($K2,waveData!$K$3:$Z$13,6,FALSE)</f>
        <v xml:space="preserve"> </v>
      </c>
      <c r="AF2" s="62">
        <f>VLOOKUP($K2,waveData!$K$3:$Z$13,7,FALSE)</f>
        <v>3.9399999999999998E-2</v>
      </c>
      <c r="AG2" s="62">
        <f>VLOOKUP($K2,waveData!$K$3:$Z$13,8,FALSE)</f>
        <v>0</v>
      </c>
      <c r="AH2" s="62" t="str">
        <f>VLOOKUP($K2,waveData!$K$3:$Z$13,9,FALSE)</f>
        <v xml:space="preserve"> </v>
      </c>
      <c r="AI2" s="62" t="str">
        <f>VLOOKUP($K2,waveData!$K$3:$Z$13,10,FALSE)</f>
        <v xml:space="preserve"> </v>
      </c>
      <c r="AJ2" s="62">
        <f>VLOOKUP($K2,waveData!$K$3:$Z$13,11,FALSE)</f>
        <v>38.299300000000002</v>
      </c>
      <c r="AK2" s="62">
        <f>VLOOKUP($K2,waveData!$K$3:$Z$13,12,FALSE)</f>
        <v>1.8373999999999999</v>
      </c>
      <c r="AL2" s="62">
        <f>VLOOKUP($K2,waveData!$K$3:$Z$13,13,FALSE)</f>
        <v>0.47899999999999998</v>
      </c>
      <c r="AM2" s="62">
        <f>VLOOKUP($K2,waveData!$K$3:$Z$13,14,FALSE)</f>
        <v>4.3</v>
      </c>
      <c r="AN2" s="62" t="str">
        <f>VLOOKUP($K2,waveData!$K$3:$Z$13,15,FALSE)</f>
        <v xml:space="preserve"> </v>
      </c>
      <c r="AO2" s="62">
        <f>VLOOKUP($K2,waveData!$K$3:$Z$13,16,FALSE)</f>
        <v>1000</v>
      </c>
      <c r="AP2">
        <v>1</v>
      </c>
      <c r="AQ2" s="31" t="s">
        <v>130</v>
      </c>
    </row>
    <row r="3" spans="1:43" x14ac:dyDescent="0.25">
      <c r="A3" s="62" t="s">
        <v>663</v>
      </c>
      <c r="B3" s="62" t="str">
        <f t="shared" ref="B3:B17" si="0">LEFT(RIGHT(A3,14),10)</f>
        <v>0201120039</v>
      </c>
      <c r="C3" s="62">
        <v>2018</v>
      </c>
      <c r="D3" s="62">
        <v>2</v>
      </c>
      <c r="E3" s="62">
        <f t="shared" ref="E3:E9" si="1">_xlfn.NUMBERVALUE(MID(B3,3,2))</f>
        <v>1</v>
      </c>
      <c r="F3" s="147">
        <f t="shared" ref="F3:F9" si="2">_xlfn.NUMBERVALUE(MID(B3,5,2))</f>
        <v>12</v>
      </c>
      <c r="G3" s="147">
        <f t="shared" ref="G3:G17" si="3">IF(F3&lt;7,F3+12,F3)</f>
        <v>12</v>
      </c>
      <c r="H3" s="147">
        <f t="shared" ref="H3:H9" si="4">_xlfn.NUMBERVALUE(MID(B3,7,2))</f>
        <v>0</v>
      </c>
      <c r="I3" s="147">
        <f t="shared" ref="I3:I9" si="5">_xlfn.NUMBERVALUE(MID(B3,9,2))</f>
        <v>39</v>
      </c>
      <c r="J3" s="62" t="str">
        <f t="shared" ref="J3:J9" si="6">C3&amp;"-"&amp;TEXT(D3,"00")&amp;"-"&amp;TEXT(E3,"00")&amp;"-"&amp;TEXT(G3,"00")&amp;":"&amp;TEXT(H3,"00")&amp;":"&amp;TEXT(I3,"00")&amp;"-04"</f>
        <v>2018-02-01-12:00:39-04</v>
      </c>
      <c r="K3" s="62">
        <v>10</v>
      </c>
      <c r="L3" s="62">
        <v>500</v>
      </c>
      <c r="M3" s="62">
        <v>243</v>
      </c>
      <c r="N3" s="148">
        <v>10.68472</v>
      </c>
      <c r="O3" s="148">
        <v>12.72616</v>
      </c>
      <c r="P3" s="148">
        <v>5.5737240000000003</v>
      </c>
      <c r="Q3" s="148">
        <v>3.7221150000000001</v>
      </c>
      <c r="R3" s="148">
        <v>-3.5387740000000001</v>
      </c>
      <c r="S3" s="148">
        <v>16.541789999999999</v>
      </c>
      <c r="T3" s="148">
        <v>-0.73034699999999997</v>
      </c>
      <c r="U3" s="148">
        <v>-0.73034699999999997</v>
      </c>
      <c r="V3" s="148">
        <v>191.9847</v>
      </c>
      <c r="W3" s="148"/>
      <c r="X3" s="148"/>
      <c r="Y3" s="62">
        <f>VLOOKUP(L3,Sheet3!$E$26:$H$31,4,FALSE)</f>
        <v>29</v>
      </c>
      <c r="Z3" s="60" t="s">
        <v>180</v>
      </c>
      <c r="AA3" s="62" t="str">
        <f>VLOOKUP($K3,waveData!$K$3:$Z$13,2,FALSE)</f>
        <v>polychromatic short crested head-on</v>
      </c>
      <c r="AB3" s="62" t="str">
        <f>VLOOKUP($K3,waveData!$K$3:$Z$13,3,FALSE)</f>
        <v>JONSWAP</v>
      </c>
      <c r="AC3" s="62">
        <f>VLOOKUP($K3,waveData!$K$3:$Z$13,4,FALSE)</f>
        <v>0.35539999999999999</v>
      </c>
      <c r="AD3" s="62">
        <f>VLOOKUP($K3,waveData!$K$3:$Z$13,5,FALSE)</f>
        <v>2.3529</v>
      </c>
      <c r="AE3" s="62">
        <f>VLOOKUP($K3,waveData!$K$3:$Z$13,6,FALSE)</f>
        <v>0</v>
      </c>
      <c r="AF3" s="62">
        <f>VLOOKUP($K3,waveData!$K$3:$Z$13,7,FALSE)</f>
        <v>4.58E-2</v>
      </c>
      <c r="AG3" s="62">
        <f>VLOOKUP($K3,waveData!$K$3:$Z$13,8,FALSE)</f>
        <v>0</v>
      </c>
      <c r="AH3" s="62" t="str">
        <f>VLOOKUP($K3,waveData!$K$3:$Z$13,9,FALSE)</f>
        <v>cos2s</v>
      </c>
      <c r="AI3" s="62">
        <f>VLOOKUP($K3,waveData!$K$3:$Z$13,10,FALSE)</f>
        <v>7</v>
      </c>
      <c r="AJ3" s="62">
        <f>VLOOKUP($K3,waveData!$K$3:$Z$13,11,FALSE)</f>
        <v>137.01310000000001</v>
      </c>
      <c r="AK3" s="62">
        <f>VLOOKUP($K3,waveData!$K$3:$Z$13,12,FALSE)</f>
        <v>2.2286000000000001</v>
      </c>
      <c r="AL3" s="62">
        <f>VLOOKUP($K3,waveData!$K$3:$Z$13,13,FALSE)</f>
        <v>1.2048000000000001</v>
      </c>
      <c r="AM3" s="62">
        <f>VLOOKUP($K3,waveData!$K$3:$Z$13,14,FALSE)</f>
        <v>4.3</v>
      </c>
      <c r="AN3" s="62">
        <f>VLOOKUP($K3,waveData!$K$3:$Z$13,15,FALSE)</f>
        <v>0</v>
      </c>
      <c r="AO3" s="62">
        <f>VLOOKUP($K3,waveData!$K$3:$Z$13,16,FALSE)</f>
        <v>1000</v>
      </c>
      <c r="AP3">
        <v>1</v>
      </c>
      <c r="AQ3" s="31" t="s">
        <v>130</v>
      </c>
    </row>
    <row r="4" spans="1:43" x14ac:dyDescent="0.25">
      <c r="A4" s="62" t="s">
        <v>664</v>
      </c>
      <c r="B4" s="62" t="str">
        <f t="shared" si="0"/>
        <v>0201123282</v>
      </c>
      <c r="C4" s="62">
        <v>2018</v>
      </c>
      <c r="D4" s="62">
        <v>2</v>
      </c>
      <c r="E4" s="62">
        <f t="shared" ref="E4:E17" si="7">_xlfn.NUMBERVALUE(MID(B4,3,2))</f>
        <v>1</v>
      </c>
      <c r="F4" s="147">
        <f t="shared" ref="F4:F17" si="8">_xlfn.NUMBERVALUE(MID(B4,5,2))</f>
        <v>12</v>
      </c>
      <c r="G4" s="147">
        <f t="shared" si="3"/>
        <v>12</v>
      </c>
      <c r="H4" s="147">
        <f t="shared" ref="H4:H17" si="9">_xlfn.NUMBERVALUE(MID(B4,7,2))</f>
        <v>32</v>
      </c>
      <c r="I4" s="147">
        <f t="shared" ref="I4:I17" si="10">_xlfn.NUMBERVALUE(MID(B4,9,2))</f>
        <v>82</v>
      </c>
      <c r="J4" s="62" t="str">
        <f t="shared" ref="J4:J17" si="11">C4&amp;"-"&amp;TEXT(D4,"00")&amp;"-"&amp;TEXT(E4,"00")&amp;"-"&amp;TEXT(G4,"00")&amp;":"&amp;TEXT(H4,"00")&amp;":"&amp;TEXT(I4,"00")&amp;"-04"</f>
        <v>2018-02-01-12:32:82-04</v>
      </c>
      <c r="K4" s="62">
        <v>10</v>
      </c>
      <c r="L4" s="62">
        <v>500</v>
      </c>
      <c r="M4" s="62">
        <v>273</v>
      </c>
      <c r="N4" s="148">
        <v>11.689640000000001</v>
      </c>
      <c r="O4" s="148">
        <v>13.646839999999999</v>
      </c>
      <c r="P4" s="148">
        <v>5.4960550000000001</v>
      </c>
      <c r="Q4" s="148">
        <v>3.7347049999999999</v>
      </c>
      <c r="R4" s="148">
        <v>-4.0394100000000002</v>
      </c>
      <c r="S4" s="148">
        <v>17.335100000000001</v>
      </c>
      <c r="T4" s="148">
        <v>-0.59955069999999999</v>
      </c>
      <c r="U4" s="148">
        <v>-0.59955069999999999</v>
      </c>
      <c r="V4" s="148">
        <v>197.703</v>
      </c>
      <c r="W4" s="148"/>
      <c r="X4" s="148"/>
      <c r="Y4" s="62">
        <f>VLOOKUP(L4,Sheet3!$E$26:$H$31,4,FALSE)</f>
        <v>29</v>
      </c>
      <c r="Z4" s="60" t="s">
        <v>180</v>
      </c>
      <c r="AA4" s="62" t="str">
        <f>VLOOKUP($K4,waveData!$K$3:$Z$13,2,FALSE)</f>
        <v>polychromatic short crested head-on</v>
      </c>
      <c r="AB4" s="62" t="str">
        <f>VLOOKUP($K4,waveData!$K$3:$Z$13,3,FALSE)</f>
        <v>JONSWAP</v>
      </c>
      <c r="AC4" s="62">
        <f>VLOOKUP($K4,waveData!$K$3:$Z$13,4,FALSE)</f>
        <v>0.35539999999999999</v>
      </c>
      <c r="AD4" s="62">
        <f>VLOOKUP($K4,waveData!$K$3:$Z$13,5,FALSE)</f>
        <v>2.3529</v>
      </c>
      <c r="AE4" s="62">
        <f>VLOOKUP($K4,waveData!$K$3:$Z$13,6,FALSE)</f>
        <v>0</v>
      </c>
      <c r="AF4" s="62">
        <f>VLOOKUP($K4,waveData!$K$3:$Z$13,7,FALSE)</f>
        <v>4.58E-2</v>
      </c>
      <c r="AG4" s="62">
        <f>VLOOKUP($K4,waveData!$K$3:$Z$13,8,FALSE)</f>
        <v>0</v>
      </c>
      <c r="AH4" s="62" t="str">
        <f>VLOOKUP($K4,waveData!$K$3:$Z$13,9,FALSE)</f>
        <v>cos2s</v>
      </c>
      <c r="AI4" s="62">
        <f>VLOOKUP($K4,waveData!$K$3:$Z$13,10,FALSE)</f>
        <v>7</v>
      </c>
      <c r="AJ4" s="62">
        <f>VLOOKUP($K4,waveData!$K$3:$Z$13,11,FALSE)</f>
        <v>137.01310000000001</v>
      </c>
      <c r="AK4" s="62">
        <f>VLOOKUP($K4,waveData!$K$3:$Z$13,12,FALSE)</f>
        <v>2.2286000000000001</v>
      </c>
      <c r="AL4" s="62">
        <f>VLOOKUP($K4,waveData!$K$3:$Z$13,13,FALSE)</f>
        <v>1.2048000000000001</v>
      </c>
      <c r="AM4" s="62">
        <f>VLOOKUP($K4,waveData!$K$3:$Z$13,14,FALSE)</f>
        <v>4.3</v>
      </c>
      <c r="AN4" s="62">
        <f>VLOOKUP($K4,waveData!$K$3:$Z$13,15,FALSE)</f>
        <v>0</v>
      </c>
      <c r="AO4" s="62">
        <f>VLOOKUP($K4,waveData!$K$3:$Z$13,16,FALSE)</f>
        <v>1000</v>
      </c>
      <c r="AP4">
        <v>1</v>
      </c>
      <c r="AQ4" s="31" t="s">
        <v>130</v>
      </c>
    </row>
    <row r="5" spans="1:43" x14ac:dyDescent="0.25">
      <c r="A5" s="62" t="s">
        <v>640</v>
      </c>
      <c r="B5" s="62" t="str">
        <f t="shared" si="0"/>
        <v>0201010353</v>
      </c>
      <c r="C5" s="62">
        <v>2018</v>
      </c>
      <c r="D5" s="62">
        <v>2</v>
      </c>
      <c r="E5" s="62">
        <f t="shared" si="7"/>
        <v>1</v>
      </c>
      <c r="F5" s="147">
        <f t="shared" si="8"/>
        <v>1</v>
      </c>
      <c r="G5" s="147">
        <f t="shared" si="3"/>
        <v>13</v>
      </c>
      <c r="H5" s="147">
        <f t="shared" si="9"/>
        <v>3</v>
      </c>
      <c r="I5" s="147">
        <f t="shared" si="10"/>
        <v>53</v>
      </c>
      <c r="J5" s="62" t="str">
        <f t="shared" si="11"/>
        <v>2018-02-01-13:03:53-04</v>
      </c>
      <c r="K5" s="62">
        <v>10</v>
      </c>
      <c r="L5" s="62">
        <v>250</v>
      </c>
      <c r="M5" s="62">
        <v>1050</v>
      </c>
      <c r="N5" s="148">
        <v>15.043659999999999</v>
      </c>
      <c r="O5" s="148">
        <v>18.385829999999999</v>
      </c>
      <c r="P5" s="148">
        <v>5.7137419999999999</v>
      </c>
      <c r="Q5" s="148">
        <v>5.3978429999999999</v>
      </c>
      <c r="R5" s="148">
        <v>-8.3727640000000001</v>
      </c>
      <c r="S5" s="148">
        <v>28.05302</v>
      </c>
      <c r="T5" s="148">
        <v>-1.6411129999999999E-2</v>
      </c>
      <c r="U5" s="148">
        <v>-1.6411129999999999E-2</v>
      </c>
      <c r="V5" s="148">
        <v>199.2482</v>
      </c>
      <c r="W5" s="148"/>
      <c r="X5" s="148"/>
      <c r="Y5" s="62">
        <f>VLOOKUP(L5,Sheet3!$E$26:$H$31,4,FALSE)</f>
        <v>30</v>
      </c>
      <c r="Z5" s="60" t="s">
        <v>180</v>
      </c>
      <c r="AA5" s="62" t="str">
        <f>VLOOKUP($K5,waveData!$K$3:$Z$13,2,FALSE)</f>
        <v>polychromatic short crested head-on</v>
      </c>
      <c r="AB5" s="62" t="str">
        <f>VLOOKUP($K5,waveData!$K$3:$Z$13,3,FALSE)</f>
        <v>JONSWAP</v>
      </c>
      <c r="AC5" s="62">
        <f>VLOOKUP($K5,waveData!$K$3:$Z$13,4,FALSE)</f>
        <v>0.35539999999999999</v>
      </c>
      <c r="AD5" s="62">
        <f>VLOOKUP($K5,waveData!$K$3:$Z$13,5,FALSE)</f>
        <v>2.3529</v>
      </c>
      <c r="AE5" s="62">
        <f>VLOOKUP($K5,waveData!$K$3:$Z$13,6,FALSE)</f>
        <v>0</v>
      </c>
      <c r="AF5" s="62">
        <f>VLOOKUP($K5,waveData!$K$3:$Z$13,7,FALSE)</f>
        <v>4.58E-2</v>
      </c>
      <c r="AG5" s="62">
        <f>VLOOKUP($K5,waveData!$K$3:$Z$13,8,FALSE)</f>
        <v>0</v>
      </c>
      <c r="AH5" s="62" t="str">
        <f>VLOOKUP($K5,waveData!$K$3:$Z$13,9,FALSE)</f>
        <v>cos2s</v>
      </c>
      <c r="AI5" s="62">
        <f>VLOOKUP($K5,waveData!$K$3:$Z$13,10,FALSE)</f>
        <v>7</v>
      </c>
      <c r="AJ5" s="62">
        <f>VLOOKUP($K5,waveData!$K$3:$Z$13,11,FALSE)</f>
        <v>137.01310000000001</v>
      </c>
      <c r="AK5" s="62">
        <f>VLOOKUP($K5,waveData!$K$3:$Z$13,12,FALSE)</f>
        <v>2.2286000000000001</v>
      </c>
      <c r="AL5" s="62">
        <f>VLOOKUP($K5,waveData!$K$3:$Z$13,13,FALSE)</f>
        <v>1.2048000000000001</v>
      </c>
      <c r="AM5" s="62">
        <f>VLOOKUP($K5,waveData!$K$3:$Z$13,14,FALSE)</f>
        <v>4.3</v>
      </c>
      <c r="AN5" s="62">
        <f>VLOOKUP($K5,waveData!$K$3:$Z$13,15,FALSE)</f>
        <v>0</v>
      </c>
      <c r="AO5" s="62">
        <f>VLOOKUP($K5,waveData!$K$3:$Z$13,16,FALSE)</f>
        <v>1000</v>
      </c>
      <c r="AP5">
        <v>1</v>
      </c>
      <c r="AQ5" s="31" t="s">
        <v>130</v>
      </c>
    </row>
    <row r="6" spans="1:43" x14ac:dyDescent="0.25">
      <c r="A6" s="62" t="s">
        <v>665</v>
      </c>
      <c r="B6" s="62" t="str">
        <f t="shared" si="0"/>
        <v>0201123917</v>
      </c>
      <c r="C6" s="62">
        <v>2018</v>
      </c>
      <c r="D6" s="62">
        <v>2</v>
      </c>
      <c r="E6" s="62">
        <f t="shared" si="7"/>
        <v>1</v>
      </c>
      <c r="F6" s="147">
        <f t="shared" si="8"/>
        <v>12</v>
      </c>
      <c r="G6" s="147">
        <f t="shared" si="3"/>
        <v>12</v>
      </c>
      <c r="H6" s="147">
        <f t="shared" si="9"/>
        <v>39</v>
      </c>
      <c r="I6" s="147">
        <f t="shared" si="10"/>
        <v>17</v>
      </c>
      <c r="J6" s="62" t="str">
        <f t="shared" si="11"/>
        <v>2018-02-01-12:39:17-04</v>
      </c>
      <c r="K6" s="62">
        <v>10</v>
      </c>
      <c r="L6" s="62">
        <v>250</v>
      </c>
      <c r="M6" s="62">
        <v>323</v>
      </c>
      <c r="N6" s="148">
        <v>15.586830000000001</v>
      </c>
      <c r="O6" s="148">
        <v>18.630410000000001</v>
      </c>
      <c r="P6" s="148">
        <v>4.7893330000000001</v>
      </c>
      <c r="Q6" s="148">
        <v>5.5028699999999997</v>
      </c>
      <c r="R6" s="148">
        <v>-8.4801090000000006</v>
      </c>
      <c r="S6" s="148">
        <v>21.939810000000001</v>
      </c>
      <c r="T6" s="148">
        <v>-0.25115090000000001</v>
      </c>
      <c r="U6" s="148">
        <v>-0.25115090000000001</v>
      </c>
      <c r="V6" s="148">
        <v>180.82239999999999</v>
      </c>
      <c r="W6" s="148"/>
      <c r="X6" s="148"/>
      <c r="Y6" s="62">
        <f>VLOOKUP(L6,Sheet3!$E$26:$H$31,4,FALSE)</f>
        <v>30</v>
      </c>
      <c r="Z6" s="60" t="s">
        <v>180</v>
      </c>
      <c r="AA6" s="62" t="str">
        <f>VLOOKUP($K6,waveData!$K$3:$Z$13,2,FALSE)</f>
        <v>polychromatic short crested head-on</v>
      </c>
      <c r="AB6" s="62" t="str">
        <f>VLOOKUP($K6,waveData!$K$3:$Z$13,3,FALSE)</f>
        <v>JONSWAP</v>
      </c>
      <c r="AC6" s="62">
        <f>VLOOKUP($K6,waveData!$K$3:$Z$13,4,FALSE)</f>
        <v>0.35539999999999999</v>
      </c>
      <c r="AD6" s="62">
        <f>VLOOKUP($K6,waveData!$K$3:$Z$13,5,FALSE)</f>
        <v>2.3529</v>
      </c>
      <c r="AE6" s="62">
        <f>VLOOKUP($K6,waveData!$K$3:$Z$13,6,FALSE)</f>
        <v>0</v>
      </c>
      <c r="AF6" s="62">
        <f>VLOOKUP($K6,waveData!$K$3:$Z$13,7,FALSE)</f>
        <v>4.58E-2</v>
      </c>
      <c r="AG6" s="62">
        <f>VLOOKUP($K6,waveData!$K$3:$Z$13,8,FALSE)</f>
        <v>0</v>
      </c>
      <c r="AH6" s="62" t="str">
        <f>VLOOKUP($K6,waveData!$K$3:$Z$13,9,FALSE)</f>
        <v>cos2s</v>
      </c>
      <c r="AI6" s="62">
        <f>VLOOKUP($K6,waveData!$K$3:$Z$13,10,FALSE)</f>
        <v>7</v>
      </c>
      <c r="AJ6" s="62">
        <f>VLOOKUP($K6,waveData!$K$3:$Z$13,11,FALSE)</f>
        <v>137.01310000000001</v>
      </c>
      <c r="AK6" s="62">
        <f>VLOOKUP($K6,waveData!$K$3:$Z$13,12,FALSE)</f>
        <v>2.2286000000000001</v>
      </c>
      <c r="AL6" s="62">
        <f>VLOOKUP($K6,waveData!$K$3:$Z$13,13,FALSE)</f>
        <v>1.2048000000000001</v>
      </c>
      <c r="AM6" s="62">
        <f>VLOOKUP($K6,waveData!$K$3:$Z$13,14,FALSE)</f>
        <v>4.3</v>
      </c>
      <c r="AN6" s="62">
        <f>VLOOKUP($K6,waveData!$K$3:$Z$13,15,FALSE)</f>
        <v>0</v>
      </c>
      <c r="AO6" s="62">
        <f>VLOOKUP($K6,waveData!$K$3:$Z$13,16,FALSE)</f>
        <v>1000</v>
      </c>
      <c r="AP6">
        <v>2</v>
      </c>
      <c r="AQ6" s="31" t="s">
        <v>130</v>
      </c>
    </row>
    <row r="7" spans="1:43" x14ac:dyDescent="0.25">
      <c r="A7" s="62" t="s">
        <v>666</v>
      </c>
      <c r="B7" s="62" t="str">
        <f t="shared" si="0"/>
        <v>0201012633</v>
      </c>
      <c r="C7" s="62">
        <v>2018</v>
      </c>
      <c r="D7" s="62">
        <v>2</v>
      </c>
      <c r="E7" s="62">
        <f t="shared" si="7"/>
        <v>1</v>
      </c>
      <c r="F7" s="147">
        <f t="shared" si="8"/>
        <v>1</v>
      </c>
      <c r="G7" s="147">
        <f t="shared" si="3"/>
        <v>13</v>
      </c>
      <c r="H7" s="147">
        <f t="shared" si="9"/>
        <v>26</v>
      </c>
      <c r="I7" s="147">
        <f t="shared" si="10"/>
        <v>33</v>
      </c>
      <c r="J7" s="62" t="str">
        <f t="shared" si="11"/>
        <v>2018-02-01-13:26:33-04</v>
      </c>
      <c r="K7" s="62">
        <v>10</v>
      </c>
      <c r="L7" s="62">
        <v>350</v>
      </c>
      <c r="M7" s="62">
        <v>269</v>
      </c>
      <c r="N7" s="148">
        <v>13.67693</v>
      </c>
      <c r="O7" s="148">
        <v>16.04223</v>
      </c>
      <c r="P7" s="148">
        <v>4.7675700000000001</v>
      </c>
      <c r="Q7" s="148">
        <v>4.5031109999999996</v>
      </c>
      <c r="R7" s="148">
        <v>-5.4788959999999998</v>
      </c>
      <c r="S7" s="148">
        <v>19.179310000000001</v>
      </c>
      <c r="T7" s="148">
        <v>-0.36845869999999997</v>
      </c>
      <c r="U7" s="148">
        <v>-0.36845869999999997</v>
      </c>
      <c r="V7" s="148">
        <v>183.33510000000001</v>
      </c>
      <c r="W7" s="148"/>
      <c r="X7" s="148"/>
      <c r="Y7" s="62">
        <f>VLOOKUP(L7,Sheet3!$E$26:$H$31,4,FALSE)</f>
        <v>31</v>
      </c>
      <c r="Z7" s="60" t="s">
        <v>180</v>
      </c>
      <c r="AA7" s="62" t="str">
        <f>VLOOKUP($K7,waveData!$K$3:$Z$13,2,FALSE)</f>
        <v>polychromatic short crested head-on</v>
      </c>
      <c r="AB7" s="62" t="str">
        <f>VLOOKUP($K7,waveData!$K$3:$Z$13,3,FALSE)</f>
        <v>JONSWAP</v>
      </c>
      <c r="AC7" s="62">
        <f>VLOOKUP($K7,waveData!$K$3:$Z$13,4,FALSE)</f>
        <v>0.35539999999999999</v>
      </c>
      <c r="AD7" s="62">
        <f>VLOOKUP($K7,waveData!$K$3:$Z$13,5,FALSE)</f>
        <v>2.3529</v>
      </c>
      <c r="AE7" s="62">
        <f>VLOOKUP($K7,waveData!$K$3:$Z$13,6,FALSE)</f>
        <v>0</v>
      </c>
      <c r="AF7" s="62">
        <f>VLOOKUP($K7,waveData!$K$3:$Z$13,7,FALSE)</f>
        <v>4.58E-2</v>
      </c>
      <c r="AG7" s="62">
        <f>VLOOKUP($K7,waveData!$K$3:$Z$13,8,FALSE)</f>
        <v>0</v>
      </c>
      <c r="AH7" s="62" t="str">
        <f>VLOOKUP($K7,waveData!$K$3:$Z$13,9,FALSE)</f>
        <v>cos2s</v>
      </c>
      <c r="AI7" s="62">
        <f>VLOOKUP($K7,waveData!$K$3:$Z$13,10,FALSE)</f>
        <v>7</v>
      </c>
      <c r="AJ7" s="62">
        <f>VLOOKUP($K7,waveData!$K$3:$Z$13,11,FALSE)</f>
        <v>137.01310000000001</v>
      </c>
      <c r="AK7" s="62">
        <f>VLOOKUP($K7,waveData!$K$3:$Z$13,12,FALSE)</f>
        <v>2.2286000000000001</v>
      </c>
      <c r="AL7" s="62">
        <f>VLOOKUP($K7,waveData!$K$3:$Z$13,13,FALSE)</f>
        <v>1.2048000000000001</v>
      </c>
      <c r="AM7" s="62">
        <f>VLOOKUP($K7,waveData!$K$3:$Z$13,14,FALSE)</f>
        <v>4.3</v>
      </c>
      <c r="AN7" s="62">
        <f>VLOOKUP($K7,waveData!$K$3:$Z$13,15,FALSE)</f>
        <v>0</v>
      </c>
      <c r="AO7" s="62">
        <f>VLOOKUP($K7,waveData!$K$3:$Z$13,16,FALSE)</f>
        <v>1000</v>
      </c>
      <c r="AP7">
        <v>1</v>
      </c>
      <c r="AQ7" s="31" t="s">
        <v>130</v>
      </c>
    </row>
    <row r="8" spans="1:43" x14ac:dyDescent="0.25">
      <c r="A8" s="62" t="s">
        <v>641</v>
      </c>
      <c r="B8" s="62" t="str">
        <f t="shared" si="0"/>
        <v>0201014854</v>
      </c>
      <c r="C8" s="62">
        <v>2018</v>
      </c>
      <c r="D8" s="62">
        <v>2</v>
      </c>
      <c r="E8" s="62">
        <f t="shared" si="7"/>
        <v>1</v>
      </c>
      <c r="F8" s="147">
        <f t="shared" si="8"/>
        <v>1</v>
      </c>
      <c r="G8" s="147">
        <f t="shared" si="3"/>
        <v>13</v>
      </c>
      <c r="H8" s="147">
        <f t="shared" si="9"/>
        <v>48</v>
      </c>
      <c r="I8" s="147">
        <f t="shared" si="10"/>
        <v>54</v>
      </c>
      <c r="J8" s="62" t="str">
        <f t="shared" si="11"/>
        <v>2018-02-01-13:48:54-04</v>
      </c>
      <c r="K8" s="62">
        <v>10</v>
      </c>
      <c r="L8" s="62">
        <v>4</v>
      </c>
      <c r="M8" s="62">
        <v>1050</v>
      </c>
      <c r="N8" s="148">
        <v>13.996600000000001</v>
      </c>
      <c r="O8" s="148">
        <v>20.956910000000001</v>
      </c>
      <c r="P8" s="148">
        <v>6.9358630000000003</v>
      </c>
      <c r="Q8" s="148">
        <v>8.0486079999999998</v>
      </c>
      <c r="R8" s="148">
        <v>-17.94134</v>
      </c>
      <c r="S8" s="148">
        <v>40.737859999999998</v>
      </c>
      <c r="T8" s="148">
        <v>-2.7256499999999999</v>
      </c>
      <c r="U8" s="148">
        <v>-2.7256499999999999</v>
      </c>
      <c r="V8" s="148">
        <v>217.10929999999999</v>
      </c>
      <c r="W8" s="148">
        <v>12.908609999999999</v>
      </c>
      <c r="X8" s="148">
        <v>9.2983209999999996</v>
      </c>
      <c r="Y8" s="62">
        <f>VLOOKUP(L8,Sheet3!$E$26:$H$31,4,FALSE)</f>
        <v>28</v>
      </c>
      <c r="Z8" s="60" t="s">
        <v>180</v>
      </c>
      <c r="AA8" s="62" t="str">
        <f>VLOOKUP($K8,waveData!$K$3:$Z$13,2,FALSE)</f>
        <v>polychromatic short crested head-on</v>
      </c>
      <c r="AB8" s="62" t="str">
        <f>VLOOKUP($K8,waveData!$K$3:$Z$13,3,FALSE)</f>
        <v>JONSWAP</v>
      </c>
      <c r="AC8" s="62">
        <f>VLOOKUP($K8,waveData!$K$3:$Z$13,4,FALSE)</f>
        <v>0.35539999999999999</v>
      </c>
      <c r="AD8" s="62">
        <f>VLOOKUP($K8,waveData!$K$3:$Z$13,5,FALSE)</f>
        <v>2.3529</v>
      </c>
      <c r="AE8" s="62">
        <f>VLOOKUP($K8,waveData!$K$3:$Z$13,6,FALSE)</f>
        <v>0</v>
      </c>
      <c r="AF8" s="62">
        <f>VLOOKUP($K8,waveData!$K$3:$Z$13,7,FALSE)</f>
        <v>4.58E-2</v>
      </c>
      <c r="AG8" s="62">
        <f>VLOOKUP($K8,waveData!$K$3:$Z$13,8,FALSE)</f>
        <v>0</v>
      </c>
      <c r="AH8" s="62" t="str">
        <f>VLOOKUP($K8,waveData!$K$3:$Z$13,9,FALSE)</f>
        <v>cos2s</v>
      </c>
      <c r="AI8" s="62">
        <f>VLOOKUP($K8,waveData!$K$3:$Z$13,10,FALSE)</f>
        <v>7</v>
      </c>
      <c r="AJ8" s="62">
        <f>VLOOKUP($K8,waveData!$K$3:$Z$13,11,FALSE)</f>
        <v>137.01310000000001</v>
      </c>
      <c r="AK8" s="62">
        <f>VLOOKUP($K8,waveData!$K$3:$Z$13,12,FALSE)</f>
        <v>2.2286000000000001</v>
      </c>
      <c r="AL8" s="62">
        <f>VLOOKUP($K8,waveData!$K$3:$Z$13,13,FALSE)</f>
        <v>1.2048000000000001</v>
      </c>
      <c r="AM8" s="62">
        <f>VLOOKUP($K8,waveData!$K$3:$Z$13,14,FALSE)</f>
        <v>4.3</v>
      </c>
      <c r="AN8" s="62">
        <f>VLOOKUP($K8,waveData!$K$3:$Z$13,15,FALSE)</f>
        <v>0</v>
      </c>
      <c r="AO8" s="62">
        <f>VLOOKUP($K8,waveData!$K$3:$Z$13,16,FALSE)</f>
        <v>1000</v>
      </c>
      <c r="AP8">
        <v>2</v>
      </c>
      <c r="AQ8" s="62" t="s">
        <v>34</v>
      </c>
    </row>
    <row r="9" spans="1:43" x14ac:dyDescent="0.25">
      <c r="A9" s="62" t="s">
        <v>642</v>
      </c>
      <c r="B9" s="62" t="str">
        <f t="shared" si="0"/>
        <v>0201025698</v>
      </c>
      <c r="C9" s="62">
        <v>2018</v>
      </c>
      <c r="D9" s="62">
        <v>2</v>
      </c>
      <c r="E9" s="62">
        <f t="shared" si="7"/>
        <v>1</v>
      </c>
      <c r="F9" s="147">
        <f t="shared" si="8"/>
        <v>2</v>
      </c>
      <c r="G9" s="147">
        <f t="shared" si="3"/>
        <v>14</v>
      </c>
      <c r="H9" s="147">
        <f t="shared" si="9"/>
        <v>56</v>
      </c>
      <c r="I9" s="147">
        <f t="shared" si="10"/>
        <v>98</v>
      </c>
      <c r="J9" s="62" t="str">
        <f t="shared" si="11"/>
        <v>2018-02-01-14:56:98-04</v>
      </c>
      <c r="K9" s="62">
        <v>10</v>
      </c>
      <c r="L9" s="62">
        <v>4</v>
      </c>
      <c r="M9" s="62">
        <v>1046</v>
      </c>
      <c r="N9" s="148">
        <v>14.332800000000001</v>
      </c>
      <c r="O9" s="148">
        <v>21.38973</v>
      </c>
      <c r="P9" s="148">
        <v>7.2113820000000004</v>
      </c>
      <c r="Q9" s="148">
        <v>8.0955259999999996</v>
      </c>
      <c r="R9" s="148">
        <v>-19.713920000000002</v>
      </c>
      <c r="S9" s="148">
        <v>41.589790000000001</v>
      </c>
      <c r="T9" s="148">
        <v>-2.7104010000000001</v>
      </c>
      <c r="U9" s="148">
        <v>-2.7104010000000001</v>
      </c>
      <c r="V9" s="148">
        <v>216.0513</v>
      </c>
      <c r="W9" s="148">
        <v>13.228960000000001</v>
      </c>
      <c r="X9" s="148">
        <v>9.5118220000000004</v>
      </c>
      <c r="Y9" s="62">
        <f>VLOOKUP(L9,Sheet3!$E$26:$H$31,4,FALSE)</f>
        <v>28</v>
      </c>
      <c r="Z9" s="60" t="s">
        <v>180</v>
      </c>
      <c r="AA9" s="62" t="str">
        <f>VLOOKUP($K9,waveData!$K$3:$Z$13,2,FALSE)</f>
        <v>polychromatic short crested head-on</v>
      </c>
      <c r="AB9" s="62" t="str">
        <f>VLOOKUP($K9,waveData!$K$3:$Z$13,3,FALSE)</f>
        <v>JONSWAP</v>
      </c>
      <c r="AC9" s="62">
        <f>VLOOKUP($K9,waveData!$K$3:$Z$13,4,FALSE)</f>
        <v>0.35539999999999999</v>
      </c>
      <c r="AD9" s="62">
        <f>VLOOKUP($K9,waveData!$K$3:$Z$13,5,FALSE)</f>
        <v>2.3529</v>
      </c>
      <c r="AE9" s="62">
        <f>VLOOKUP($K9,waveData!$K$3:$Z$13,6,FALSE)</f>
        <v>0</v>
      </c>
      <c r="AF9" s="62">
        <f>VLOOKUP($K9,waveData!$K$3:$Z$13,7,FALSE)</f>
        <v>4.58E-2</v>
      </c>
      <c r="AG9" s="62">
        <f>VLOOKUP($K9,waveData!$K$3:$Z$13,8,FALSE)</f>
        <v>0</v>
      </c>
      <c r="AH9" s="62" t="str">
        <f>VLOOKUP($K9,waveData!$K$3:$Z$13,9,FALSE)</f>
        <v>cos2s</v>
      </c>
      <c r="AI9" s="62">
        <f>VLOOKUP($K9,waveData!$K$3:$Z$13,10,FALSE)</f>
        <v>7</v>
      </c>
      <c r="AJ9" s="62">
        <f>VLOOKUP($K9,waveData!$K$3:$Z$13,11,FALSE)</f>
        <v>137.01310000000001</v>
      </c>
      <c r="AK9" s="62">
        <f>VLOOKUP($K9,waveData!$K$3:$Z$13,12,FALSE)</f>
        <v>2.2286000000000001</v>
      </c>
      <c r="AL9" s="62">
        <f>VLOOKUP($K9,waveData!$K$3:$Z$13,13,FALSE)</f>
        <v>1.2048000000000001</v>
      </c>
      <c r="AM9" s="62">
        <f>VLOOKUP($K9,waveData!$K$3:$Z$13,14,FALSE)</f>
        <v>4.3</v>
      </c>
      <c r="AN9" s="62">
        <f>VLOOKUP($K9,waveData!$K$3:$Z$13,15,FALSE)</f>
        <v>0</v>
      </c>
      <c r="AO9" s="62">
        <f>VLOOKUP($K9,waveData!$K$3:$Z$13,16,FALSE)</f>
        <v>1000</v>
      </c>
      <c r="AP9">
        <v>2</v>
      </c>
      <c r="AQ9" s="62" t="s">
        <v>34</v>
      </c>
    </row>
    <row r="10" spans="1:43" x14ac:dyDescent="0.25">
      <c r="A10" s="62" t="s">
        <v>683</v>
      </c>
      <c r="B10" s="62" t="str">
        <f t="shared" si="0"/>
        <v>0201023555</v>
      </c>
      <c r="C10" s="62">
        <v>2018</v>
      </c>
      <c r="D10" s="62">
        <v>2</v>
      </c>
      <c r="E10" s="62">
        <f t="shared" si="7"/>
        <v>1</v>
      </c>
      <c r="F10" s="147">
        <f t="shared" si="8"/>
        <v>2</v>
      </c>
      <c r="G10" s="147">
        <f t="shared" si="3"/>
        <v>14</v>
      </c>
      <c r="H10" s="147">
        <f t="shared" si="9"/>
        <v>35</v>
      </c>
      <c r="I10" s="147">
        <f t="shared" si="10"/>
        <v>55</v>
      </c>
      <c r="J10" s="62" t="str">
        <f t="shared" si="11"/>
        <v>2018-02-01-14:35:55-04</v>
      </c>
      <c r="K10" s="62">
        <v>6</v>
      </c>
      <c r="L10" s="62">
        <v>0</v>
      </c>
      <c r="M10" s="62">
        <v>960</v>
      </c>
      <c r="N10" s="148">
        <v>1.0298130000000001</v>
      </c>
      <c r="O10" s="148">
        <v>1.4770430000000001</v>
      </c>
      <c r="P10" s="148">
        <v>0.5768295</v>
      </c>
      <c r="Q10" s="148">
        <v>6.788386</v>
      </c>
      <c r="R10" s="148">
        <v>-24.952439999999999</v>
      </c>
      <c r="S10" s="148">
        <v>26.451370000000001</v>
      </c>
      <c r="T10" s="148">
        <v>0.40382050000000003</v>
      </c>
      <c r="U10" s="148">
        <v>0.40382050000000003</v>
      </c>
      <c r="V10" s="148">
        <v>14.95337</v>
      </c>
      <c r="W10" s="148">
        <v>0</v>
      </c>
      <c r="X10" s="148">
        <v>0</v>
      </c>
      <c r="Y10" s="62">
        <f>VLOOKUP(L10,Sheet3!$E$26:$H$31,4,FALSE)</f>
        <v>26</v>
      </c>
      <c r="Z10" s="60" t="s">
        <v>180</v>
      </c>
      <c r="AA10" s="62" t="str">
        <f>VLOOKUP($K10,waveData!$K$3:$Z$13,2,FALSE)</f>
        <v>polychromatic long-crested head-on</v>
      </c>
      <c r="AB10" s="62" t="str">
        <f>VLOOKUP($K10,waveData!$K$3:$Z$13,3,FALSE)</f>
        <v>Bretschneider Spectrum</v>
      </c>
      <c r="AC10" s="62">
        <f>VLOOKUP($K10,waveData!$K$3:$Z$13,4,FALSE)</f>
        <v>0.20780000000000001</v>
      </c>
      <c r="AD10" s="62">
        <f>VLOOKUP($K10,waveData!$K$3:$Z$13,5,FALSE)</f>
        <v>2.0706000000000002</v>
      </c>
      <c r="AE10" s="62" t="str">
        <f>VLOOKUP($K10,waveData!$K$3:$Z$13,6,FALSE)</f>
        <v xml:space="preserve"> </v>
      </c>
      <c r="AF10" s="62">
        <f>VLOOKUP($K10,waveData!$K$3:$Z$13,7,FALSE)</f>
        <v>3.9399999999999998E-2</v>
      </c>
      <c r="AG10" s="62">
        <f>VLOOKUP($K10,waveData!$K$3:$Z$13,8,FALSE)</f>
        <v>0</v>
      </c>
      <c r="AH10" s="62" t="str">
        <f>VLOOKUP($K10,waveData!$K$3:$Z$13,9,FALSE)</f>
        <v xml:space="preserve"> </v>
      </c>
      <c r="AI10" s="62" t="str">
        <f>VLOOKUP($K10,waveData!$K$3:$Z$13,10,FALSE)</f>
        <v xml:space="preserve"> </v>
      </c>
      <c r="AJ10" s="62">
        <f>VLOOKUP($K10,waveData!$K$3:$Z$13,11,FALSE)</f>
        <v>38.299300000000002</v>
      </c>
      <c r="AK10" s="62">
        <f>VLOOKUP($K10,waveData!$K$3:$Z$13,12,FALSE)</f>
        <v>1.8373999999999999</v>
      </c>
      <c r="AL10" s="62">
        <f>VLOOKUP($K10,waveData!$K$3:$Z$13,13,FALSE)</f>
        <v>0.47899999999999998</v>
      </c>
      <c r="AM10" s="62">
        <f>VLOOKUP($K10,waveData!$K$3:$Z$13,14,FALSE)</f>
        <v>4.3</v>
      </c>
      <c r="AN10" s="62" t="str">
        <f>VLOOKUP($K10,waveData!$K$3:$Z$13,15,FALSE)</f>
        <v xml:space="preserve"> </v>
      </c>
      <c r="AO10" s="62">
        <f>VLOOKUP($K10,waveData!$K$3:$Z$13,16,FALSE)</f>
        <v>1000</v>
      </c>
      <c r="AP10">
        <v>1</v>
      </c>
      <c r="AQ10" s="62" t="s">
        <v>34</v>
      </c>
    </row>
    <row r="11" spans="1:43" x14ac:dyDescent="0.25">
      <c r="A11" s="62" t="s">
        <v>659</v>
      </c>
      <c r="B11" s="62" t="str">
        <f t="shared" si="0"/>
        <v>0201105556</v>
      </c>
      <c r="C11" s="62">
        <v>2018</v>
      </c>
      <c r="D11" s="62">
        <v>2</v>
      </c>
      <c r="E11" s="62">
        <f t="shared" si="7"/>
        <v>1</v>
      </c>
      <c r="F11" s="147">
        <f t="shared" si="8"/>
        <v>10</v>
      </c>
      <c r="G11" s="147">
        <f t="shared" si="3"/>
        <v>10</v>
      </c>
      <c r="H11" s="147">
        <f t="shared" si="9"/>
        <v>55</v>
      </c>
      <c r="I11" s="147">
        <f t="shared" si="10"/>
        <v>56</v>
      </c>
      <c r="J11" s="62" t="str">
        <f t="shared" si="11"/>
        <v>2018-02-01-10:55:56-04</v>
      </c>
      <c r="K11" s="62">
        <v>6</v>
      </c>
      <c r="L11" s="62">
        <v>4</v>
      </c>
      <c r="M11" s="62">
        <v>964</v>
      </c>
      <c r="N11" s="148">
        <v>6.6614279999999999</v>
      </c>
      <c r="O11" s="148">
        <v>10.51257</v>
      </c>
      <c r="P11" s="148">
        <v>4.8849090000000004</v>
      </c>
      <c r="Q11" s="148">
        <v>5.5020699999999998</v>
      </c>
      <c r="R11" s="148">
        <v>-18.055119999999999</v>
      </c>
      <c r="S11" s="148">
        <v>27.843319999999999</v>
      </c>
      <c r="T11" s="148">
        <v>-0.79755860000000001</v>
      </c>
      <c r="U11" s="148">
        <v>-0.79755860000000001</v>
      </c>
      <c r="V11" s="148">
        <v>176.69229999999999</v>
      </c>
      <c r="W11" s="148">
        <v>6.1625399999999999</v>
      </c>
      <c r="X11" s="148">
        <v>3.7656529999999999</v>
      </c>
      <c r="Y11" s="62">
        <f>VLOOKUP(L11,Sheet3!$E$26:$H$31,4,FALSE)</f>
        <v>28</v>
      </c>
      <c r="Z11" s="60" t="s">
        <v>180</v>
      </c>
      <c r="AA11" s="62" t="str">
        <f>VLOOKUP($K11,waveData!$K$3:$Z$13,2,FALSE)</f>
        <v>polychromatic long-crested head-on</v>
      </c>
      <c r="AB11" s="62" t="str">
        <f>VLOOKUP($K11,waveData!$K$3:$Z$13,3,FALSE)</f>
        <v>Bretschneider Spectrum</v>
      </c>
      <c r="AC11" s="62">
        <f>VLOOKUP($K11,waveData!$K$3:$Z$13,4,FALSE)</f>
        <v>0.20780000000000001</v>
      </c>
      <c r="AD11" s="62">
        <f>VLOOKUP($K11,waveData!$K$3:$Z$13,5,FALSE)</f>
        <v>2.0706000000000002</v>
      </c>
      <c r="AE11" s="62" t="str">
        <f>VLOOKUP($K11,waveData!$K$3:$Z$13,6,FALSE)</f>
        <v xml:space="preserve"> </v>
      </c>
      <c r="AF11" s="62">
        <f>VLOOKUP($K11,waveData!$K$3:$Z$13,7,FALSE)</f>
        <v>3.9399999999999998E-2</v>
      </c>
      <c r="AG11" s="62">
        <f>VLOOKUP($K11,waveData!$K$3:$Z$13,8,FALSE)</f>
        <v>0</v>
      </c>
      <c r="AH11" s="62" t="str">
        <f>VLOOKUP($K11,waveData!$K$3:$Z$13,9,FALSE)</f>
        <v xml:space="preserve"> </v>
      </c>
      <c r="AI11" s="62" t="str">
        <f>VLOOKUP($K11,waveData!$K$3:$Z$13,10,FALSE)</f>
        <v xml:space="preserve"> </v>
      </c>
      <c r="AJ11" s="62">
        <f>VLOOKUP($K11,waveData!$K$3:$Z$13,11,FALSE)</f>
        <v>38.299300000000002</v>
      </c>
      <c r="AK11" s="62">
        <f>VLOOKUP($K11,waveData!$K$3:$Z$13,12,FALSE)</f>
        <v>1.8373999999999999</v>
      </c>
      <c r="AL11" s="62">
        <f>VLOOKUP($K11,waveData!$K$3:$Z$13,13,FALSE)</f>
        <v>0.47899999999999998</v>
      </c>
      <c r="AM11" s="62">
        <f>VLOOKUP($K11,waveData!$K$3:$Z$13,14,FALSE)</f>
        <v>4.3</v>
      </c>
      <c r="AN11" s="62" t="str">
        <f>VLOOKUP($K11,waveData!$K$3:$Z$13,15,FALSE)</f>
        <v xml:space="preserve"> </v>
      </c>
      <c r="AO11" s="62">
        <f>VLOOKUP($K11,waveData!$K$3:$Z$13,16,FALSE)</f>
        <v>1000</v>
      </c>
      <c r="AP11">
        <v>1</v>
      </c>
      <c r="AQ11" s="62" t="s">
        <v>34</v>
      </c>
    </row>
    <row r="12" spans="1:43" x14ac:dyDescent="0.25">
      <c r="A12" s="62" t="s">
        <v>660</v>
      </c>
      <c r="B12" s="62" t="str">
        <f t="shared" si="0"/>
        <v>0201111779</v>
      </c>
      <c r="C12" s="62">
        <v>2018</v>
      </c>
      <c r="D12" s="62">
        <v>2</v>
      </c>
      <c r="E12" s="62">
        <f t="shared" si="7"/>
        <v>1</v>
      </c>
      <c r="F12" s="147">
        <f t="shared" si="8"/>
        <v>11</v>
      </c>
      <c r="G12" s="147">
        <f t="shared" si="3"/>
        <v>11</v>
      </c>
      <c r="H12" s="147">
        <f t="shared" si="9"/>
        <v>17</v>
      </c>
      <c r="I12" s="147">
        <f t="shared" si="10"/>
        <v>79</v>
      </c>
      <c r="J12" s="62" t="str">
        <f t="shared" si="11"/>
        <v>2018-02-01-11:17:79-04</v>
      </c>
      <c r="K12" s="62">
        <v>9</v>
      </c>
      <c r="L12" s="62">
        <v>500</v>
      </c>
      <c r="M12" s="62">
        <v>1050</v>
      </c>
      <c r="N12" s="148">
        <v>7.6381399999999999</v>
      </c>
      <c r="O12" s="148">
        <v>9.5085859999999993</v>
      </c>
      <c r="P12" s="148">
        <v>5.9382359999999998</v>
      </c>
      <c r="Q12" s="148">
        <v>2.6430500000000001</v>
      </c>
      <c r="R12" s="148">
        <v>-2.3208899999999999</v>
      </c>
      <c r="S12" s="148">
        <v>15.5502</v>
      </c>
      <c r="T12" s="148">
        <v>0.25802340000000001</v>
      </c>
      <c r="U12" s="148">
        <v>0.25802340000000001</v>
      </c>
      <c r="V12" s="148">
        <v>201.70519999999999</v>
      </c>
      <c r="W12" s="148"/>
      <c r="X12" s="148"/>
      <c r="Y12" s="62">
        <f>VLOOKUP(L12,Sheet3!$E$26:$H$31,4,FALSE)</f>
        <v>29</v>
      </c>
      <c r="Z12" s="60" t="s">
        <v>180</v>
      </c>
      <c r="AA12" s="62" t="str">
        <f>VLOOKUP($K12,waveData!$K$3:$Z$13,2,FALSE)</f>
        <v>polychromatic short crested head-on</v>
      </c>
      <c r="AB12" s="62" t="str">
        <f>VLOOKUP($K12,waveData!$K$3:$Z$13,3,FALSE)</f>
        <v>JONSWAP</v>
      </c>
      <c r="AC12" s="62">
        <f>VLOOKUP($K12,waveData!$K$3:$Z$13,4,FALSE)</f>
        <v>0.27439999999999998</v>
      </c>
      <c r="AD12" s="62">
        <f>VLOOKUP($K12,waveData!$K$3:$Z$13,5,FALSE)</f>
        <v>1.8181</v>
      </c>
      <c r="AE12" s="62">
        <f>VLOOKUP($K12,waveData!$K$3:$Z$13,6,FALSE)</f>
        <v>0</v>
      </c>
      <c r="AF12" s="62">
        <f>VLOOKUP($K12,waveData!$K$3:$Z$13,7,FALSE)</f>
        <v>5.79E-2</v>
      </c>
      <c r="AG12" s="62">
        <f>VLOOKUP($K12,waveData!$K$3:$Z$13,8,FALSE)</f>
        <v>0</v>
      </c>
      <c r="AH12" s="62" t="str">
        <f>VLOOKUP($K12,waveData!$K$3:$Z$13,9,FALSE)</f>
        <v>cos2s</v>
      </c>
      <c r="AI12" s="62">
        <f>VLOOKUP($K12,waveData!$K$3:$Z$13,10,FALSE)</f>
        <v>7</v>
      </c>
      <c r="AJ12" s="62">
        <f>VLOOKUP($K12,waveData!$K$3:$Z$13,11,FALSE)</f>
        <v>62.6492</v>
      </c>
      <c r="AK12" s="62">
        <f>VLOOKUP($K12,waveData!$K$3:$Z$13,12,FALSE)</f>
        <v>1.7427999999999999</v>
      </c>
      <c r="AL12" s="62">
        <f>VLOOKUP($K12,waveData!$K$3:$Z$13,13,FALSE)</f>
        <v>0.94710000000000005</v>
      </c>
      <c r="AM12" s="62">
        <f>VLOOKUP($K12,waveData!$K$3:$Z$13,14,FALSE)</f>
        <v>4.3</v>
      </c>
      <c r="AN12" s="62">
        <f>VLOOKUP($K12,waveData!$K$3:$Z$13,15,FALSE)</f>
        <v>0</v>
      </c>
      <c r="AO12" s="62">
        <f>VLOOKUP($K12,waveData!$K$3:$Z$13,16,FALSE)</f>
        <v>1000</v>
      </c>
      <c r="AP12">
        <v>1</v>
      </c>
      <c r="AQ12" s="31" t="s">
        <v>130</v>
      </c>
    </row>
    <row r="13" spans="1:43" x14ac:dyDescent="0.25">
      <c r="A13" s="62" t="s">
        <v>667</v>
      </c>
      <c r="B13" s="62" t="str">
        <f t="shared" si="0"/>
        <v>0201112736</v>
      </c>
      <c r="C13" s="62">
        <v>2018</v>
      </c>
      <c r="D13" s="62">
        <v>2</v>
      </c>
      <c r="E13" s="62">
        <f t="shared" si="7"/>
        <v>1</v>
      </c>
      <c r="F13" s="147">
        <f t="shared" si="8"/>
        <v>11</v>
      </c>
      <c r="G13" s="147">
        <f t="shared" si="3"/>
        <v>11</v>
      </c>
      <c r="H13" s="147">
        <f t="shared" si="9"/>
        <v>27</v>
      </c>
      <c r="I13" s="147">
        <f t="shared" si="10"/>
        <v>36</v>
      </c>
      <c r="J13" s="62" t="str">
        <f t="shared" si="11"/>
        <v>2018-02-01-11:27:36-04</v>
      </c>
      <c r="K13" s="62">
        <v>9</v>
      </c>
      <c r="L13" s="62">
        <v>4</v>
      </c>
      <c r="M13" s="62">
        <v>140</v>
      </c>
      <c r="N13" s="148">
        <v>9.4947090000000003</v>
      </c>
      <c r="O13" s="148">
        <v>14.34174</v>
      </c>
      <c r="P13" s="148">
        <v>5.301831</v>
      </c>
      <c r="Q13" s="148">
        <v>5.4844229999999996</v>
      </c>
      <c r="R13" s="148">
        <v>-12.489800000000001</v>
      </c>
      <c r="S13" s="148">
        <v>27.24409</v>
      </c>
      <c r="T13" s="148">
        <v>-0.96189519999999995</v>
      </c>
      <c r="U13" s="148">
        <v>-0.96189519999999995</v>
      </c>
      <c r="V13" s="148">
        <v>147.88239999999999</v>
      </c>
      <c r="W13" s="148">
        <v>8.6312850000000001</v>
      </c>
      <c r="X13" s="148">
        <v>6.1105840000000002</v>
      </c>
      <c r="Y13" s="62">
        <f>VLOOKUP(L13,Sheet3!$E$26:$H$31,4,FALSE)</f>
        <v>28</v>
      </c>
      <c r="Z13" s="60" t="s">
        <v>180</v>
      </c>
      <c r="AA13" s="62" t="str">
        <f>VLOOKUP($K13,waveData!$K$3:$Z$13,2,FALSE)</f>
        <v>polychromatic short crested head-on</v>
      </c>
      <c r="AB13" s="62" t="str">
        <f>VLOOKUP($K13,waveData!$K$3:$Z$13,3,FALSE)</f>
        <v>JONSWAP</v>
      </c>
      <c r="AC13" s="62">
        <f>VLOOKUP($K13,waveData!$K$3:$Z$13,4,FALSE)</f>
        <v>0.27439999999999998</v>
      </c>
      <c r="AD13" s="62">
        <f>VLOOKUP($K13,waveData!$K$3:$Z$13,5,FALSE)</f>
        <v>1.8181</v>
      </c>
      <c r="AE13" s="62">
        <f>VLOOKUP($K13,waveData!$K$3:$Z$13,6,FALSE)</f>
        <v>0</v>
      </c>
      <c r="AF13" s="62">
        <f>VLOOKUP($K13,waveData!$K$3:$Z$13,7,FALSE)</f>
        <v>5.79E-2</v>
      </c>
      <c r="AG13" s="62">
        <f>VLOOKUP($K13,waveData!$K$3:$Z$13,8,FALSE)</f>
        <v>0</v>
      </c>
      <c r="AH13" s="62" t="str">
        <f>VLOOKUP($K13,waveData!$K$3:$Z$13,9,FALSE)</f>
        <v>cos2s</v>
      </c>
      <c r="AI13" s="62">
        <f>VLOOKUP($K13,waveData!$K$3:$Z$13,10,FALSE)</f>
        <v>7</v>
      </c>
      <c r="AJ13" s="62">
        <f>VLOOKUP($K13,waveData!$K$3:$Z$13,11,FALSE)</f>
        <v>62.6492</v>
      </c>
      <c r="AK13" s="62">
        <f>VLOOKUP($K13,waveData!$K$3:$Z$13,12,FALSE)</f>
        <v>1.7427999999999999</v>
      </c>
      <c r="AL13" s="62">
        <f>VLOOKUP($K13,waveData!$K$3:$Z$13,13,FALSE)</f>
        <v>0.94710000000000005</v>
      </c>
      <c r="AM13" s="62">
        <f>VLOOKUP($K13,waveData!$K$3:$Z$13,14,FALSE)</f>
        <v>4.3</v>
      </c>
      <c r="AN13" s="62">
        <f>VLOOKUP($K13,waveData!$K$3:$Z$13,15,FALSE)</f>
        <v>0</v>
      </c>
      <c r="AO13" s="62">
        <f>VLOOKUP($K13,waveData!$K$3:$Z$13,16,FALSE)</f>
        <v>1000</v>
      </c>
      <c r="AP13">
        <v>1</v>
      </c>
      <c r="AQ13" s="62" t="s">
        <v>34</v>
      </c>
    </row>
    <row r="14" spans="1:43" x14ac:dyDescent="0.25">
      <c r="A14" s="62" t="s">
        <v>668</v>
      </c>
      <c r="B14" s="62" t="str">
        <f t="shared" si="0"/>
        <v>0201113646</v>
      </c>
      <c r="C14" s="62">
        <v>2018</v>
      </c>
      <c r="D14" s="62">
        <v>2</v>
      </c>
      <c r="E14" s="62">
        <f t="shared" si="7"/>
        <v>1</v>
      </c>
      <c r="F14" s="147">
        <f t="shared" si="8"/>
        <v>11</v>
      </c>
      <c r="G14" s="147">
        <f t="shared" si="3"/>
        <v>11</v>
      </c>
      <c r="H14" s="147">
        <f t="shared" si="9"/>
        <v>36</v>
      </c>
      <c r="I14" s="147">
        <f t="shared" si="10"/>
        <v>46</v>
      </c>
      <c r="J14" s="62" t="str">
        <f t="shared" si="11"/>
        <v>2018-02-01-11:36:46-04</v>
      </c>
      <c r="K14" s="62">
        <v>9</v>
      </c>
      <c r="L14" s="62">
        <v>4</v>
      </c>
      <c r="M14" s="62">
        <v>169</v>
      </c>
      <c r="N14" s="148">
        <v>8.7601370000000003</v>
      </c>
      <c r="O14" s="148">
        <v>13.724600000000001</v>
      </c>
      <c r="P14" s="148">
        <v>5.0889129999999998</v>
      </c>
      <c r="Q14" s="148">
        <v>5.1783900000000003</v>
      </c>
      <c r="R14" s="148">
        <v>-10.44605</v>
      </c>
      <c r="S14" s="148">
        <v>26.944089999999999</v>
      </c>
      <c r="T14" s="148">
        <v>-1.1326849999999999</v>
      </c>
      <c r="U14" s="148">
        <v>-1.1326849999999999</v>
      </c>
      <c r="V14" s="148">
        <v>163.32689999999999</v>
      </c>
      <c r="W14" s="148">
        <v>8.0354109999999999</v>
      </c>
      <c r="X14" s="148">
        <v>5.9643459999999999</v>
      </c>
      <c r="Y14" s="62">
        <f>VLOOKUP(L14,Sheet3!$E$26:$H$31,4,FALSE)</f>
        <v>28</v>
      </c>
      <c r="Z14" s="60" t="s">
        <v>180</v>
      </c>
      <c r="AA14" s="62" t="str">
        <f>VLOOKUP($K14,waveData!$K$3:$Z$13,2,FALSE)</f>
        <v>polychromatic short crested head-on</v>
      </c>
      <c r="AB14" s="62" t="str">
        <f>VLOOKUP($K14,waveData!$K$3:$Z$13,3,FALSE)</f>
        <v>JONSWAP</v>
      </c>
      <c r="AC14" s="62">
        <f>VLOOKUP($K14,waveData!$K$3:$Z$13,4,FALSE)</f>
        <v>0.27439999999999998</v>
      </c>
      <c r="AD14" s="62">
        <f>VLOOKUP($K14,waveData!$K$3:$Z$13,5,FALSE)</f>
        <v>1.8181</v>
      </c>
      <c r="AE14" s="62">
        <f>VLOOKUP($K14,waveData!$K$3:$Z$13,6,FALSE)</f>
        <v>0</v>
      </c>
      <c r="AF14" s="62">
        <f>VLOOKUP($K14,waveData!$K$3:$Z$13,7,FALSE)</f>
        <v>5.79E-2</v>
      </c>
      <c r="AG14" s="62">
        <f>VLOOKUP($K14,waveData!$K$3:$Z$13,8,FALSE)</f>
        <v>0</v>
      </c>
      <c r="AH14" s="62" t="str">
        <f>VLOOKUP($K14,waveData!$K$3:$Z$13,9,FALSE)</f>
        <v>cos2s</v>
      </c>
      <c r="AI14" s="62">
        <f>VLOOKUP($K14,waveData!$K$3:$Z$13,10,FALSE)</f>
        <v>7</v>
      </c>
      <c r="AJ14" s="62">
        <f>VLOOKUP($K14,waveData!$K$3:$Z$13,11,FALSE)</f>
        <v>62.6492</v>
      </c>
      <c r="AK14" s="62">
        <f>VLOOKUP($K14,waveData!$K$3:$Z$13,12,FALSE)</f>
        <v>1.7427999999999999</v>
      </c>
      <c r="AL14" s="62">
        <f>VLOOKUP($K14,waveData!$K$3:$Z$13,13,FALSE)</f>
        <v>0.94710000000000005</v>
      </c>
      <c r="AM14" s="62">
        <f>VLOOKUP($K14,waveData!$K$3:$Z$13,14,FALSE)</f>
        <v>4.3</v>
      </c>
      <c r="AN14" s="62">
        <f>VLOOKUP($K14,waveData!$K$3:$Z$13,15,FALSE)</f>
        <v>0</v>
      </c>
      <c r="AO14" s="62">
        <f>VLOOKUP($K14,waveData!$K$3:$Z$13,16,FALSE)</f>
        <v>1000</v>
      </c>
      <c r="AP14">
        <v>1</v>
      </c>
      <c r="AQ14" s="62" t="s">
        <v>34</v>
      </c>
    </row>
    <row r="15" spans="1:43" x14ac:dyDescent="0.25">
      <c r="A15" s="62" t="s">
        <v>669</v>
      </c>
      <c r="B15" s="62" t="str">
        <f t="shared" si="0"/>
        <v>0201114749</v>
      </c>
      <c r="C15" s="62">
        <v>2018</v>
      </c>
      <c r="D15" s="62">
        <v>2</v>
      </c>
      <c r="E15" s="62">
        <f t="shared" si="7"/>
        <v>1</v>
      </c>
      <c r="F15" s="147">
        <f t="shared" si="8"/>
        <v>11</v>
      </c>
      <c r="G15" s="147">
        <f t="shared" si="3"/>
        <v>11</v>
      </c>
      <c r="H15" s="147">
        <f t="shared" si="9"/>
        <v>47</v>
      </c>
      <c r="I15" s="147">
        <f t="shared" si="10"/>
        <v>49</v>
      </c>
      <c r="J15" s="62" t="str">
        <f t="shared" si="11"/>
        <v>2018-02-01-11:47:49-04</v>
      </c>
      <c r="K15" s="62">
        <v>9</v>
      </c>
      <c r="L15" s="62">
        <v>3</v>
      </c>
      <c r="M15" s="62">
        <v>155</v>
      </c>
      <c r="N15" s="148">
        <v>10.21593</v>
      </c>
      <c r="O15" s="148">
        <v>14.45998</v>
      </c>
      <c r="P15" s="148">
        <v>4.4307809999999996</v>
      </c>
      <c r="Q15" s="148">
        <v>5.6714909999999996</v>
      </c>
      <c r="R15" s="148">
        <v>-11.69181</v>
      </c>
      <c r="S15" s="148">
        <v>28.823329999999999</v>
      </c>
      <c r="T15" s="148">
        <v>-0.86790900000000004</v>
      </c>
      <c r="U15" s="148">
        <v>-0.86790900000000004</v>
      </c>
      <c r="V15" s="148">
        <v>140.55869999999999</v>
      </c>
      <c r="W15" s="148">
        <v>9.0584559999999996</v>
      </c>
      <c r="X15" s="148">
        <v>6.362527</v>
      </c>
      <c r="Y15" s="62">
        <f>VLOOKUP(L15,Sheet3!$E$26:$H$31,4,FALSE)</f>
        <v>27</v>
      </c>
      <c r="Z15" s="60" t="s">
        <v>180</v>
      </c>
      <c r="AA15" s="62" t="str">
        <f>VLOOKUP($K15,waveData!$K$3:$Z$13,2,FALSE)</f>
        <v>polychromatic short crested head-on</v>
      </c>
      <c r="AB15" s="62" t="str">
        <f>VLOOKUP($K15,waveData!$K$3:$Z$13,3,FALSE)</f>
        <v>JONSWAP</v>
      </c>
      <c r="AC15" s="62">
        <f>VLOOKUP($K15,waveData!$K$3:$Z$13,4,FALSE)</f>
        <v>0.27439999999999998</v>
      </c>
      <c r="AD15" s="62">
        <f>VLOOKUP($K15,waveData!$K$3:$Z$13,5,FALSE)</f>
        <v>1.8181</v>
      </c>
      <c r="AE15" s="62">
        <f>VLOOKUP($K15,waveData!$K$3:$Z$13,6,FALSE)</f>
        <v>0</v>
      </c>
      <c r="AF15" s="62">
        <f>VLOOKUP($K15,waveData!$K$3:$Z$13,7,FALSE)</f>
        <v>5.79E-2</v>
      </c>
      <c r="AG15" s="62">
        <f>VLOOKUP($K15,waveData!$K$3:$Z$13,8,FALSE)</f>
        <v>0</v>
      </c>
      <c r="AH15" s="62" t="str">
        <f>VLOOKUP($K15,waveData!$K$3:$Z$13,9,FALSE)</f>
        <v>cos2s</v>
      </c>
      <c r="AI15" s="62">
        <f>VLOOKUP($K15,waveData!$K$3:$Z$13,10,FALSE)</f>
        <v>7</v>
      </c>
      <c r="AJ15" s="62">
        <f>VLOOKUP($K15,waveData!$K$3:$Z$13,11,FALSE)</f>
        <v>62.6492</v>
      </c>
      <c r="AK15" s="62">
        <f>VLOOKUP($K15,waveData!$K$3:$Z$13,12,FALSE)</f>
        <v>1.7427999999999999</v>
      </c>
      <c r="AL15" s="62">
        <f>VLOOKUP($K15,waveData!$K$3:$Z$13,13,FALSE)</f>
        <v>0.94710000000000005</v>
      </c>
      <c r="AM15" s="62">
        <f>VLOOKUP($K15,waveData!$K$3:$Z$13,14,FALSE)</f>
        <v>4.3</v>
      </c>
      <c r="AN15" s="62">
        <f>VLOOKUP($K15,waveData!$K$3:$Z$13,15,FALSE)</f>
        <v>0</v>
      </c>
      <c r="AO15" s="62">
        <f>VLOOKUP($K15,waveData!$K$3:$Z$13,16,FALSE)</f>
        <v>1000</v>
      </c>
      <c r="AP15">
        <v>1</v>
      </c>
      <c r="AQ15" s="62" t="s">
        <v>34</v>
      </c>
    </row>
    <row r="16" spans="1:43" x14ac:dyDescent="0.25">
      <c r="A16" s="62" t="s">
        <v>670</v>
      </c>
      <c r="B16" s="62" t="str">
        <f t="shared" si="0"/>
        <v>0201115344</v>
      </c>
      <c r="C16" s="62">
        <v>2018</v>
      </c>
      <c r="D16" s="62">
        <v>2</v>
      </c>
      <c r="E16" s="62">
        <f t="shared" si="7"/>
        <v>1</v>
      </c>
      <c r="F16" s="147">
        <f t="shared" si="8"/>
        <v>11</v>
      </c>
      <c r="G16" s="147">
        <f t="shared" si="3"/>
        <v>11</v>
      </c>
      <c r="H16" s="147">
        <f t="shared" si="9"/>
        <v>53</v>
      </c>
      <c r="I16" s="147">
        <f t="shared" si="10"/>
        <v>44</v>
      </c>
      <c r="J16" s="62" t="str">
        <f t="shared" si="11"/>
        <v>2018-02-01-11:53:44-04</v>
      </c>
      <c r="K16" s="62">
        <v>9</v>
      </c>
      <c r="L16" s="62">
        <v>3</v>
      </c>
      <c r="M16" s="62">
        <v>159</v>
      </c>
      <c r="N16" s="148">
        <v>9.9225650000000005</v>
      </c>
      <c r="O16" s="148">
        <v>14.13522</v>
      </c>
      <c r="P16" s="148">
        <v>4.5770869999999997</v>
      </c>
      <c r="Q16" s="148">
        <v>5.3399679999999998</v>
      </c>
      <c r="R16" s="148">
        <v>-12.3553</v>
      </c>
      <c r="S16" s="148">
        <v>26.279949999999999</v>
      </c>
      <c r="T16" s="148">
        <v>-1.0664</v>
      </c>
      <c r="U16" s="148">
        <v>-1.0664</v>
      </c>
      <c r="V16" s="148">
        <v>139.50649999999999</v>
      </c>
      <c r="W16" s="148">
        <v>8.883896</v>
      </c>
      <c r="X16" s="148">
        <v>6.2238910000000001</v>
      </c>
      <c r="Y16" s="62">
        <f>VLOOKUP(L16,Sheet3!$E$26:$H$31,4,FALSE)</f>
        <v>27</v>
      </c>
      <c r="Z16" s="60" t="s">
        <v>180</v>
      </c>
      <c r="AA16" s="62" t="str">
        <f>VLOOKUP($K16,waveData!$K$3:$Z$13,2,FALSE)</f>
        <v>polychromatic short crested head-on</v>
      </c>
      <c r="AB16" s="62" t="str">
        <f>VLOOKUP($K16,waveData!$K$3:$Z$13,3,FALSE)</f>
        <v>JONSWAP</v>
      </c>
      <c r="AC16" s="62">
        <f>VLOOKUP($K16,waveData!$K$3:$Z$13,4,FALSE)</f>
        <v>0.27439999999999998</v>
      </c>
      <c r="AD16" s="62">
        <f>VLOOKUP($K16,waveData!$K$3:$Z$13,5,FALSE)</f>
        <v>1.8181</v>
      </c>
      <c r="AE16" s="62">
        <f>VLOOKUP($K16,waveData!$K$3:$Z$13,6,FALSE)</f>
        <v>0</v>
      </c>
      <c r="AF16" s="62">
        <f>VLOOKUP($K16,waveData!$K$3:$Z$13,7,FALSE)</f>
        <v>5.79E-2</v>
      </c>
      <c r="AG16" s="62">
        <f>VLOOKUP($K16,waveData!$K$3:$Z$13,8,FALSE)</f>
        <v>0</v>
      </c>
      <c r="AH16" s="62" t="str">
        <f>VLOOKUP($K16,waveData!$K$3:$Z$13,9,FALSE)</f>
        <v>cos2s</v>
      </c>
      <c r="AI16" s="62">
        <f>VLOOKUP($K16,waveData!$K$3:$Z$13,10,FALSE)</f>
        <v>7</v>
      </c>
      <c r="AJ16" s="62">
        <f>VLOOKUP($K16,waveData!$K$3:$Z$13,11,FALSE)</f>
        <v>62.6492</v>
      </c>
      <c r="AK16" s="62">
        <f>VLOOKUP($K16,waveData!$K$3:$Z$13,12,FALSE)</f>
        <v>1.7427999999999999</v>
      </c>
      <c r="AL16" s="62">
        <f>VLOOKUP($K16,waveData!$K$3:$Z$13,13,FALSE)</f>
        <v>0.94710000000000005</v>
      </c>
      <c r="AM16" s="62">
        <f>VLOOKUP($K16,waveData!$K$3:$Z$13,14,FALSE)</f>
        <v>4.3</v>
      </c>
      <c r="AN16" s="62">
        <f>VLOOKUP($K16,waveData!$K$3:$Z$13,15,FALSE)</f>
        <v>0</v>
      </c>
      <c r="AO16" s="62">
        <f>VLOOKUP($K16,waveData!$K$3:$Z$13,16,FALSE)</f>
        <v>1000</v>
      </c>
      <c r="AP16">
        <v>1</v>
      </c>
      <c r="AQ16" s="62" t="s">
        <v>34</v>
      </c>
    </row>
    <row r="17" spans="1:43" x14ac:dyDescent="0.25">
      <c r="A17" s="62" t="s">
        <v>661</v>
      </c>
      <c r="B17" s="62" t="str">
        <f t="shared" si="0"/>
        <v>0201021452</v>
      </c>
      <c r="C17" s="62">
        <v>2018</v>
      </c>
      <c r="D17" s="62">
        <v>2</v>
      </c>
      <c r="E17" s="62">
        <f t="shared" si="7"/>
        <v>1</v>
      </c>
      <c r="F17" s="147">
        <f t="shared" si="8"/>
        <v>2</v>
      </c>
      <c r="G17" s="147">
        <f t="shared" si="3"/>
        <v>14</v>
      </c>
      <c r="H17" s="147">
        <f t="shared" si="9"/>
        <v>14</v>
      </c>
      <c r="I17" s="147">
        <f t="shared" si="10"/>
        <v>52</v>
      </c>
      <c r="J17" s="62" t="str">
        <f t="shared" si="11"/>
        <v>2018-02-01-14:14:52-04</v>
      </c>
      <c r="K17" s="62">
        <v>9</v>
      </c>
      <c r="L17" s="62">
        <v>3</v>
      </c>
      <c r="M17" s="62">
        <v>1050</v>
      </c>
      <c r="N17" s="148">
        <v>11.00478</v>
      </c>
      <c r="O17" s="148">
        <v>15.56945</v>
      </c>
      <c r="P17" s="148">
        <v>4.336239</v>
      </c>
      <c r="Q17" s="148">
        <v>5.4346379999999996</v>
      </c>
      <c r="R17" s="148">
        <v>-19.947520000000001</v>
      </c>
      <c r="S17" s="148">
        <v>28.380120000000002</v>
      </c>
      <c r="T17" s="148">
        <v>0.43709880000000001</v>
      </c>
      <c r="U17" s="148">
        <v>0.43709880000000001</v>
      </c>
      <c r="V17" s="148">
        <v>171.81129999999999</v>
      </c>
      <c r="W17" s="148">
        <v>9.9820779999999996</v>
      </c>
      <c r="X17" s="148">
        <v>6.7947249999999997</v>
      </c>
      <c r="Y17" s="62">
        <f>VLOOKUP(L17,Sheet3!$E$26:$H$31,4,FALSE)</f>
        <v>27</v>
      </c>
      <c r="Z17" s="60" t="s">
        <v>180</v>
      </c>
      <c r="AA17" s="62" t="str">
        <f>VLOOKUP($K17,waveData!$K$3:$Z$13,2,FALSE)</f>
        <v>polychromatic short crested head-on</v>
      </c>
      <c r="AB17" s="62" t="str">
        <f>VLOOKUP($K17,waveData!$K$3:$Z$13,3,FALSE)</f>
        <v>JONSWAP</v>
      </c>
      <c r="AC17" s="62">
        <f>VLOOKUP($K17,waveData!$K$3:$Z$13,4,FALSE)</f>
        <v>0.27439999999999998</v>
      </c>
      <c r="AD17" s="62">
        <f>VLOOKUP($K17,waveData!$K$3:$Z$13,5,FALSE)</f>
        <v>1.8181</v>
      </c>
      <c r="AE17" s="62">
        <f>VLOOKUP($K17,waveData!$K$3:$Z$13,6,FALSE)</f>
        <v>0</v>
      </c>
      <c r="AF17" s="62">
        <f>VLOOKUP($K17,waveData!$K$3:$Z$13,7,FALSE)</f>
        <v>5.79E-2</v>
      </c>
      <c r="AG17" s="62">
        <f>VLOOKUP($K17,waveData!$K$3:$Z$13,8,FALSE)</f>
        <v>0</v>
      </c>
      <c r="AH17" s="62" t="str">
        <f>VLOOKUP($K17,waveData!$K$3:$Z$13,9,FALSE)</f>
        <v>cos2s</v>
      </c>
      <c r="AI17" s="62">
        <f>VLOOKUP($K17,waveData!$K$3:$Z$13,10,FALSE)</f>
        <v>7</v>
      </c>
      <c r="AJ17" s="62">
        <f>VLOOKUP($K17,waveData!$K$3:$Z$13,11,FALSE)</f>
        <v>62.6492</v>
      </c>
      <c r="AK17" s="62">
        <f>VLOOKUP($K17,waveData!$K$3:$Z$13,12,FALSE)</f>
        <v>1.7427999999999999</v>
      </c>
      <c r="AL17" s="62">
        <f>VLOOKUP($K17,waveData!$K$3:$Z$13,13,FALSE)</f>
        <v>0.94710000000000005</v>
      </c>
      <c r="AM17" s="62">
        <f>VLOOKUP($K17,waveData!$K$3:$Z$13,14,FALSE)</f>
        <v>4.3</v>
      </c>
      <c r="AN17" s="62">
        <f>VLOOKUP($K17,waveData!$K$3:$Z$13,15,FALSE)</f>
        <v>0</v>
      </c>
      <c r="AO17" s="62">
        <f>VLOOKUP($K17,waveData!$K$3:$Z$13,16,FALSE)</f>
        <v>1000</v>
      </c>
      <c r="AP17">
        <v>2</v>
      </c>
      <c r="AQ17" s="62" t="s">
        <v>34</v>
      </c>
    </row>
    <row r="25" spans="1:43" x14ac:dyDescent="0.25">
      <c r="E25" s="144"/>
      <c r="F25" s="144"/>
      <c r="G25" s="144"/>
      <c r="H25" s="144"/>
      <c r="I25" s="144"/>
      <c r="J25" s="144"/>
      <c r="K25" s="144"/>
      <c r="L25" s="144"/>
      <c r="M25" s="144"/>
      <c r="N25" s="144"/>
      <c r="O25" s="144"/>
      <c r="T25" s="148"/>
    </row>
    <row r="26" spans="1:43" x14ac:dyDescent="0.25">
      <c r="E26" s="144"/>
      <c r="F26" s="144"/>
      <c r="G26" s="144"/>
      <c r="H26" s="144"/>
      <c r="I26" s="144"/>
      <c r="J26" s="144"/>
      <c r="K26" s="144"/>
      <c r="L26" s="144"/>
      <c r="M26" s="144"/>
      <c r="N26" s="144"/>
      <c r="O26" s="144"/>
      <c r="T26" s="148"/>
    </row>
    <row r="27" spans="1:43" x14ac:dyDescent="0.25">
      <c r="E27" s="144"/>
      <c r="F27" s="144"/>
      <c r="G27" s="144"/>
      <c r="H27" s="144"/>
      <c r="I27" s="144"/>
      <c r="J27" s="144"/>
      <c r="K27" s="144"/>
      <c r="L27" s="144"/>
      <c r="M27" s="144"/>
      <c r="N27" s="144"/>
      <c r="O27" s="144"/>
      <c r="T27" s="148"/>
    </row>
    <row r="28" spans="1:43" x14ac:dyDescent="0.25">
      <c r="E28" s="144"/>
      <c r="F28" s="144"/>
      <c r="G28" s="144"/>
      <c r="H28" s="144"/>
      <c r="I28" s="144"/>
      <c r="J28" s="144"/>
      <c r="K28" s="144"/>
      <c r="L28" s="144"/>
      <c r="M28" s="144"/>
      <c r="N28" s="144"/>
      <c r="O28" s="144"/>
      <c r="T28" s="148"/>
    </row>
    <row r="29" spans="1:43" x14ac:dyDescent="0.25">
      <c r="E29" s="144"/>
      <c r="F29" s="144"/>
      <c r="G29" s="144"/>
      <c r="H29" s="144"/>
      <c r="I29" s="144"/>
      <c r="J29" s="144"/>
      <c r="K29" s="144"/>
      <c r="L29" s="144"/>
      <c r="M29" s="144"/>
      <c r="N29" s="144"/>
      <c r="O29" s="144"/>
      <c r="T29" s="148"/>
    </row>
    <row r="30" spans="1:43" x14ac:dyDescent="0.25">
      <c r="E30" s="144"/>
      <c r="F30" s="144"/>
      <c r="G30" s="144"/>
      <c r="H30" s="144"/>
      <c r="I30" s="144"/>
      <c r="J30" s="144"/>
      <c r="K30" s="144"/>
      <c r="L30" s="144"/>
      <c r="M30" s="144"/>
      <c r="N30" s="144"/>
      <c r="O30" s="144"/>
      <c r="T30" s="148"/>
    </row>
    <row r="31" spans="1:43" x14ac:dyDescent="0.25">
      <c r="E31" s="144"/>
      <c r="F31" s="144"/>
      <c r="G31" s="144"/>
      <c r="H31" s="144"/>
      <c r="I31" s="144"/>
      <c r="J31" s="144"/>
      <c r="K31" s="144"/>
      <c r="L31" s="144"/>
      <c r="M31" s="144"/>
      <c r="N31" s="144"/>
      <c r="O31" s="144"/>
      <c r="T31" s="148"/>
    </row>
    <row r="32" spans="1:43" x14ac:dyDescent="0.25">
      <c r="E32" s="144"/>
      <c r="F32" s="144"/>
      <c r="G32" s="144"/>
      <c r="H32" s="144"/>
      <c r="I32" s="144"/>
      <c r="J32" s="144"/>
      <c r="K32" s="144"/>
      <c r="L32" s="144"/>
      <c r="M32" s="144"/>
      <c r="N32" s="144"/>
      <c r="O32" s="144"/>
      <c r="T32" s="148"/>
    </row>
    <row r="33" spans="5:20" x14ac:dyDescent="0.25">
      <c r="E33" s="144"/>
      <c r="F33" s="144"/>
      <c r="G33" s="144"/>
      <c r="H33" s="144"/>
      <c r="I33" s="144"/>
      <c r="J33" s="144"/>
      <c r="K33" s="144"/>
      <c r="L33" s="144"/>
      <c r="M33" s="144"/>
      <c r="N33" s="144"/>
      <c r="O33" s="144"/>
      <c r="T33" s="148"/>
    </row>
    <row r="34" spans="5:20" x14ac:dyDescent="0.25">
      <c r="E34" s="144"/>
      <c r="F34" s="144"/>
      <c r="G34" s="144"/>
      <c r="H34" s="144"/>
      <c r="I34" s="144"/>
      <c r="J34" s="144"/>
      <c r="K34" s="144"/>
      <c r="L34" s="144"/>
      <c r="M34" s="144"/>
      <c r="N34" s="144"/>
      <c r="O34" s="144"/>
      <c r="T34" s="148"/>
    </row>
    <row r="35" spans="5:20" x14ac:dyDescent="0.25">
      <c r="E35" s="144"/>
      <c r="F35" s="144"/>
      <c r="G35" s="144"/>
      <c r="H35" s="144"/>
      <c r="I35" s="144"/>
      <c r="J35" s="144"/>
      <c r="K35" s="144"/>
      <c r="L35" s="144"/>
      <c r="M35" s="144"/>
      <c r="N35" s="144"/>
      <c r="O35" s="144"/>
      <c r="T35" s="148"/>
    </row>
    <row r="36" spans="5:20" x14ac:dyDescent="0.25">
      <c r="E36" s="144"/>
      <c r="F36" s="144"/>
      <c r="G36" s="144"/>
      <c r="H36" s="144"/>
      <c r="I36" s="144"/>
      <c r="J36" s="144"/>
      <c r="K36" s="144"/>
      <c r="L36" s="144"/>
      <c r="M36" s="144"/>
      <c r="N36" s="144"/>
      <c r="O36" s="144"/>
      <c r="T36" s="148"/>
    </row>
    <row r="37" spans="5:20" x14ac:dyDescent="0.25">
      <c r="E37" s="144"/>
      <c r="F37" s="144"/>
      <c r="G37" s="144"/>
      <c r="H37" s="144"/>
      <c r="I37" s="144"/>
      <c r="J37" s="144"/>
      <c r="K37" s="144"/>
      <c r="L37" s="144"/>
      <c r="M37" s="144"/>
      <c r="N37" s="144"/>
      <c r="O37" s="144"/>
      <c r="T37" s="148"/>
    </row>
    <row r="38" spans="5:20" x14ac:dyDescent="0.25">
      <c r="E38" s="144"/>
      <c r="F38" s="144"/>
      <c r="G38" s="144"/>
      <c r="H38" s="144"/>
      <c r="I38" s="144"/>
      <c r="J38" s="144"/>
      <c r="K38" s="144"/>
      <c r="L38" s="144"/>
      <c r="M38" s="144"/>
      <c r="N38" s="144"/>
      <c r="O38" s="144"/>
      <c r="T38" s="148"/>
    </row>
    <row r="39" spans="5:20" x14ac:dyDescent="0.25">
      <c r="E39" s="144"/>
      <c r="F39" s="144"/>
      <c r="G39" s="144"/>
      <c r="H39" s="144"/>
      <c r="I39" s="144"/>
      <c r="J39" s="144"/>
      <c r="K39" s="144"/>
      <c r="L39" s="144"/>
      <c r="M39" s="144"/>
      <c r="N39" s="144"/>
      <c r="O39" s="144"/>
      <c r="T39" s="148"/>
    </row>
    <row r="40" spans="5:20" x14ac:dyDescent="0.25">
      <c r="E40" s="144"/>
      <c r="F40" s="144"/>
      <c r="G40" s="144"/>
      <c r="H40" s="144"/>
      <c r="I40" s="144"/>
      <c r="J40" s="144"/>
      <c r="K40" s="144"/>
      <c r="L40" s="144"/>
      <c r="M40" s="144"/>
      <c r="N40" s="144"/>
      <c r="O40" s="144"/>
      <c r="T40" s="148"/>
    </row>
    <row r="41" spans="5:20" x14ac:dyDescent="0.25">
      <c r="E41" s="144"/>
      <c r="F41" s="144"/>
      <c r="G41" s="144"/>
      <c r="H41" s="144"/>
      <c r="I41" s="144"/>
      <c r="J41" s="144"/>
      <c r="K41" s="144"/>
      <c r="L41" s="144"/>
      <c r="M41" s="144"/>
      <c r="N41" s="144"/>
      <c r="O41" s="144"/>
    </row>
    <row r="42" spans="5:20" x14ac:dyDescent="0.25">
      <c r="E42" s="144"/>
      <c r="F42" s="144"/>
      <c r="G42" s="144"/>
      <c r="H42" s="144"/>
      <c r="I42" s="144"/>
      <c r="J42" s="144"/>
      <c r="K42" s="144"/>
      <c r="L42" s="144"/>
      <c r="M42" s="144"/>
      <c r="N42" s="144"/>
      <c r="O42" s="144"/>
    </row>
    <row r="43" spans="5:20" x14ac:dyDescent="0.25">
      <c r="E43" s="144"/>
      <c r="F43" s="144"/>
      <c r="G43" s="144"/>
      <c r="H43" s="144"/>
      <c r="I43" s="144"/>
      <c r="J43" s="144"/>
      <c r="K43" s="144"/>
      <c r="L43" s="144"/>
      <c r="M43" s="144"/>
      <c r="N43" s="144"/>
      <c r="O43" s="144"/>
    </row>
    <row r="44" spans="5:20" x14ac:dyDescent="0.25">
      <c r="E44" s="144"/>
      <c r="F44" s="144"/>
      <c r="G44" s="144"/>
      <c r="H44" s="144"/>
      <c r="I44" s="144"/>
      <c r="J44" s="144"/>
      <c r="K44" s="144"/>
      <c r="L44" s="144"/>
      <c r="M44" s="144"/>
      <c r="N44" s="144"/>
      <c r="O44" s="144"/>
    </row>
  </sheetData>
  <pageMargins left="0.7" right="0.7" top="0.75" bottom="0.75" header="0.3" footer="0.3"/>
  <pageSetup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81A6-7824-4C0D-ABFD-0F2545D8C057}">
  <dimension ref="E1:H31"/>
  <sheetViews>
    <sheetView workbookViewId="0">
      <selection activeCell="F29" sqref="F29:F31"/>
    </sheetView>
  </sheetViews>
  <sheetFormatPr defaultRowHeight="15" x14ac:dyDescent="0.25"/>
  <sheetData>
    <row r="1" spans="5:8" x14ac:dyDescent="0.25">
      <c r="E1">
        <v>0</v>
      </c>
      <c r="F1" t="str">
        <f>"linearDamping, "&amp;E1</f>
        <v>linearDamping, 0</v>
      </c>
      <c r="H1">
        <v>1</v>
      </c>
    </row>
    <row r="2" spans="5:8" x14ac:dyDescent="0.25">
      <c r="E2">
        <v>40</v>
      </c>
      <c r="F2" s="62" t="str">
        <f t="shared" ref="F2:F20" si="0">"linearDamping, "&amp;E2</f>
        <v>linearDamping, 40</v>
      </c>
      <c r="H2">
        <v>2</v>
      </c>
    </row>
    <row r="3" spans="5:8" x14ac:dyDescent="0.25">
      <c r="E3">
        <v>100</v>
      </c>
      <c r="F3" s="62" t="str">
        <f t="shared" si="0"/>
        <v>linearDamping, 100</v>
      </c>
      <c r="H3">
        <v>3</v>
      </c>
    </row>
    <row r="4" spans="5:8" x14ac:dyDescent="0.25">
      <c r="E4">
        <v>150</v>
      </c>
      <c r="F4" s="62" t="str">
        <f t="shared" si="0"/>
        <v>linearDamping, 150</v>
      </c>
      <c r="H4" s="62">
        <v>4</v>
      </c>
    </row>
    <row r="5" spans="5:8" x14ac:dyDescent="0.25">
      <c r="E5">
        <v>200</v>
      </c>
      <c r="F5" s="62" t="str">
        <f t="shared" si="0"/>
        <v>linearDamping, 200</v>
      </c>
      <c r="H5" s="62">
        <v>5</v>
      </c>
    </row>
    <row r="6" spans="5:8" x14ac:dyDescent="0.25">
      <c r="E6">
        <v>220</v>
      </c>
      <c r="F6" s="62" t="str">
        <f t="shared" si="0"/>
        <v>linearDamping, 220</v>
      </c>
      <c r="H6" s="62">
        <v>6</v>
      </c>
    </row>
    <row r="7" spans="5:8" x14ac:dyDescent="0.25">
      <c r="E7">
        <v>250</v>
      </c>
      <c r="F7" s="62" t="str">
        <f t="shared" si="0"/>
        <v>linearDamping, 250</v>
      </c>
      <c r="H7" s="62">
        <v>7</v>
      </c>
    </row>
    <row r="8" spans="5:8" x14ac:dyDescent="0.25">
      <c r="E8">
        <v>270</v>
      </c>
      <c r="F8" s="62" t="str">
        <f t="shared" si="0"/>
        <v>linearDamping, 270</v>
      </c>
      <c r="H8" s="62">
        <v>8</v>
      </c>
    </row>
    <row r="9" spans="5:8" x14ac:dyDescent="0.25">
      <c r="E9">
        <v>275</v>
      </c>
      <c r="F9" s="62" t="str">
        <f t="shared" si="0"/>
        <v>linearDamping, 275</v>
      </c>
      <c r="H9" s="62">
        <v>9</v>
      </c>
    </row>
    <row r="10" spans="5:8" x14ac:dyDescent="0.25">
      <c r="E10">
        <v>300</v>
      </c>
      <c r="F10" s="62" t="str">
        <f t="shared" si="0"/>
        <v>linearDamping, 300</v>
      </c>
      <c r="H10" s="62">
        <v>10</v>
      </c>
    </row>
    <row r="11" spans="5:8" x14ac:dyDescent="0.25">
      <c r="E11">
        <v>330</v>
      </c>
      <c r="F11" s="62" t="str">
        <f t="shared" si="0"/>
        <v>linearDamping, 330</v>
      </c>
      <c r="H11" s="62">
        <v>11</v>
      </c>
    </row>
    <row r="12" spans="5:8" x14ac:dyDescent="0.25">
      <c r="E12">
        <v>350</v>
      </c>
      <c r="F12" s="62" t="str">
        <f t="shared" si="0"/>
        <v>linearDamping, 350</v>
      </c>
      <c r="H12" s="62">
        <v>12</v>
      </c>
    </row>
    <row r="13" spans="5:8" x14ac:dyDescent="0.25">
      <c r="E13">
        <v>375</v>
      </c>
      <c r="F13" s="62" t="str">
        <f t="shared" si="0"/>
        <v>linearDamping, 375</v>
      </c>
      <c r="H13" s="62">
        <v>13</v>
      </c>
    </row>
    <row r="14" spans="5:8" x14ac:dyDescent="0.25">
      <c r="E14">
        <v>380</v>
      </c>
      <c r="F14" s="62" t="str">
        <f t="shared" si="0"/>
        <v>linearDamping, 380</v>
      </c>
      <c r="H14" s="62">
        <v>14</v>
      </c>
    </row>
    <row r="15" spans="5:8" x14ac:dyDescent="0.25">
      <c r="E15">
        <v>400</v>
      </c>
      <c r="F15" s="62" t="str">
        <f t="shared" si="0"/>
        <v>linearDamping, 400</v>
      </c>
      <c r="H15" s="62">
        <v>15</v>
      </c>
    </row>
    <row r="16" spans="5:8" x14ac:dyDescent="0.25">
      <c r="E16">
        <v>430</v>
      </c>
      <c r="F16" s="62" t="str">
        <f t="shared" si="0"/>
        <v>linearDamping, 430</v>
      </c>
      <c r="H16" s="62">
        <v>16</v>
      </c>
    </row>
    <row r="17" spans="5:8" x14ac:dyDescent="0.25">
      <c r="E17">
        <v>450</v>
      </c>
      <c r="F17" s="62" t="str">
        <f t="shared" si="0"/>
        <v>linearDamping, 450</v>
      </c>
      <c r="H17" s="62">
        <v>17</v>
      </c>
    </row>
    <row r="18" spans="5:8" x14ac:dyDescent="0.25">
      <c r="E18">
        <v>500</v>
      </c>
      <c r="F18" s="62" t="str">
        <f t="shared" si="0"/>
        <v>linearDamping, 500</v>
      </c>
      <c r="H18" s="62">
        <v>18</v>
      </c>
    </row>
    <row r="19" spans="5:8" x14ac:dyDescent="0.25">
      <c r="E19">
        <v>550</v>
      </c>
      <c r="F19" s="62" t="str">
        <f t="shared" si="0"/>
        <v>linearDamping, 550</v>
      </c>
      <c r="H19" s="62">
        <v>19</v>
      </c>
    </row>
    <row r="20" spans="5:8" x14ac:dyDescent="0.25">
      <c r="E20">
        <v>700</v>
      </c>
      <c r="F20" s="62" t="str">
        <f t="shared" si="0"/>
        <v>linearDamping, 700</v>
      </c>
      <c r="H20" s="62">
        <v>20</v>
      </c>
    </row>
    <row r="21" spans="5:8" x14ac:dyDescent="0.25">
      <c r="E21">
        <v>1.8</v>
      </c>
      <c r="F21" t="str">
        <f>"hydraulic, motor coeff: "&amp;E21</f>
        <v>hydraulic, motor coeff: 1.8</v>
      </c>
      <c r="H21" s="62">
        <v>21</v>
      </c>
    </row>
    <row r="22" spans="5:8" x14ac:dyDescent="0.25">
      <c r="E22">
        <v>2.8</v>
      </c>
      <c r="F22" s="62" t="str">
        <f t="shared" ref="F22:F29" si="1">"hydraulic, motor coeff: "&amp;E22</f>
        <v>hydraulic, motor coeff: 2.8</v>
      </c>
      <c r="H22" s="62">
        <v>22</v>
      </c>
    </row>
    <row r="23" spans="5:8" x14ac:dyDescent="0.25">
      <c r="E23">
        <v>5</v>
      </c>
      <c r="F23" s="62" t="str">
        <f t="shared" si="1"/>
        <v>hydraulic, motor coeff: 5</v>
      </c>
      <c r="H23" s="62">
        <v>23</v>
      </c>
    </row>
    <row r="24" spans="5:8" x14ac:dyDescent="0.25">
      <c r="E24">
        <v>5.4</v>
      </c>
      <c r="F24" s="62" t="str">
        <f t="shared" si="1"/>
        <v>hydraulic, motor coeff: 5.4</v>
      </c>
      <c r="H24" s="62">
        <v>24</v>
      </c>
    </row>
    <row r="25" spans="5:8" x14ac:dyDescent="0.25">
      <c r="E25">
        <v>6</v>
      </c>
      <c r="F25" s="62" t="str">
        <f t="shared" si="1"/>
        <v>hydraulic, motor coeff: 6</v>
      </c>
      <c r="H25" s="62">
        <v>25</v>
      </c>
    </row>
    <row r="26" spans="5:8" x14ac:dyDescent="0.25">
      <c r="E26">
        <v>0</v>
      </c>
      <c r="F26" s="62" t="s">
        <v>671</v>
      </c>
      <c r="H26" s="62">
        <v>26</v>
      </c>
    </row>
    <row r="27" spans="5:8" x14ac:dyDescent="0.25">
      <c r="E27">
        <v>3</v>
      </c>
      <c r="F27" s="62" t="str">
        <f t="shared" si="1"/>
        <v>hydraulic, motor coeff: 3</v>
      </c>
      <c r="H27" s="62">
        <v>27</v>
      </c>
    </row>
    <row r="28" spans="5:8" x14ac:dyDescent="0.25">
      <c r="E28">
        <v>4</v>
      </c>
      <c r="F28" s="62" t="str">
        <f t="shared" si="1"/>
        <v>hydraulic, motor coeff: 4</v>
      </c>
      <c r="H28" s="62">
        <v>28</v>
      </c>
    </row>
    <row r="29" spans="5:8" x14ac:dyDescent="0.25">
      <c r="E29">
        <v>500</v>
      </c>
      <c r="F29" s="62" t="str">
        <f>"linearDamping, "&amp;E29</f>
        <v>linearDamping, 500</v>
      </c>
      <c r="H29" s="62">
        <v>29</v>
      </c>
    </row>
    <row r="30" spans="5:8" x14ac:dyDescent="0.25">
      <c r="E30">
        <v>250</v>
      </c>
      <c r="F30" s="62" t="str">
        <f t="shared" ref="F30:F31" si="2">"linearDamping, "&amp;E30</f>
        <v>linearDamping, 250</v>
      </c>
      <c r="H30" s="62">
        <v>30</v>
      </c>
    </row>
    <row r="31" spans="5:8" x14ac:dyDescent="0.25">
      <c r="E31">
        <v>350</v>
      </c>
      <c r="F31" s="62" t="str">
        <f t="shared" si="2"/>
        <v>linearDamping, 350</v>
      </c>
      <c r="H31" s="62">
        <v>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9969C-A7CF-49C4-9A93-D280FA671280}">
  <dimension ref="A1:Z13"/>
  <sheetViews>
    <sheetView topLeftCell="G1" workbookViewId="0">
      <selection activeCell="Z14" sqref="Z14"/>
    </sheetView>
  </sheetViews>
  <sheetFormatPr defaultRowHeight="15" x14ac:dyDescent="0.25"/>
  <cols>
    <col min="6" max="6" width="10.42578125" bestFit="1" customWidth="1"/>
    <col min="12" max="12" width="8.5703125" bestFit="1" customWidth="1"/>
    <col min="13" max="13" width="15.85546875" bestFit="1" customWidth="1"/>
    <col min="14" max="14" width="19" bestFit="1" customWidth="1"/>
    <col min="15" max="15" width="13.85546875" bestFit="1" customWidth="1"/>
    <col min="16" max="16" width="19.42578125" bestFit="1" customWidth="1"/>
    <col min="17" max="17" width="13.28515625" bestFit="1" customWidth="1"/>
    <col min="18" max="18" width="12.140625" bestFit="1" customWidth="1"/>
    <col min="19" max="19" width="19.140625" bestFit="1" customWidth="1"/>
    <col min="20" max="20" width="20.28515625" bestFit="1" customWidth="1"/>
    <col min="21" max="21" width="13.28515625" bestFit="1" customWidth="1"/>
    <col min="22" max="22" width="15.140625" bestFit="1" customWidth="1"/>
    <col min="23" max="23" width="16.140625" bestFit="1" customWidth="1"/>
    <col min="24" max="24" width="9.85546875" bestFit="1" customWidth="1"/>
    <col min="25" max="25" width="9.7109375" bestFit="1" customWidth="1"/>
    <col min="26" max="26" width="11.28515625" bestFit="1" customWidth="1"/>
  </cols>
  <sheetData>
    <row r="1" spans="1:26" s="62" customFormat="1" x14ac:dyDescent="0.25"/>
    <row r="2" spans="1:26" ht="15" customHeight="1" x14ac:dyDescent="0.25">
      <c r="A2" s="62" t="s">
        <v>516</v>
      </c>
      <c r="B2" s="62" t="s">
        <v>517</v>
      </c>
      <c r="C2" s="62" t="s">
        <v>518</v>
      </c>
      <c r="D2" s="62" t="s">
        <v>519</v>
      </c>
      <c r="E2" s="62" t="s">
        <v>520</v>
      </c>
      <c r="F2" s="62" t="s">
        <v>521</v>
      </c>
      <c r="G2" s="62" t="s">
        <v>522</v>
      </c>
      <c r="L2" s="46" t="s">
        <v>95</v>
      </c>
      <c r="M2" s="46" t="s">
        <v>149</v>
      </c>
      <c r="N2" s="46" t="s">
        <v>54</v>
      </c>
      <c r="O2" s="46" t="s">
        <v>333</v>
      </c>
      <c r="P2" s="46" t="s">
        <v>292</v>
      </c>
      <c r="Q2" s="46" t="s">
        <v>293</v>
      </c>
      <c r="R2" s="46" t="s">
        <v>55</v>
      </c>
      <c r="S2" s="46" t="s">
        <v>294</v>
      </c>
      <c r="T2" s="46" t="s">
        <v>295</v>
      </c>
      <c r="U2" s="46" t="s">
        <v>56</v>
      </c>
      <c r="V2" s="46" t="s">
        <v>296</v>
      </c>
      <c r="W2" s="46" t="s">
        <v>297</v>
      </c>
      <c r="X2" s="46" t="s">
        <v>57</v>
      </c>
      <c r="Y2" s="46" t="s">
        <v>332</v>
      </c>
      <c r="Z2" s="46" t="s">
        <v>298</v>
      </c>
    </row>
    <row r="3" spans="1:26" x14ac:dyDescent="0.25">
      <c r="A3" s="62">
        <v>0</v>
      </c>
      <c r="B3" s="62">
        <v>0.14230000000000001</v>
      </c>
      <c r="C3" s="62">
        <v>2.1032000000000002</v>
      </c>
      <c r="D3" s="62">
        <v>2.6682999999999999</v>
      </c>
      <c r="E3" s="62">
        <v>21.700199999999999</v>
      </c>
      <c r="F3" s="62">
        <v>0.52810000000000001</v>
      </c>
      <c r="G3" s="62">
        <v>2.06E-2</v>
      </c>
      <c r="K3">
        <v>0</v>
      </c>
      <c r="L3" s="60" t="s">
        <v>422</v>
      </c>
      <c r="M3" t="s">
        <v>103</v>
      </c>
      <c r="N3" s="62">
        <v>0.14230000000000001</v>
      </c>
      <c r="O3" s="62">
        <v>2.6682999999999999</v>
      </c>
      <c r="P3" t="s">
        <v>596</v>
      </c>
      <c r="Q3" s="62">
        <v>2.06E-2</v>
      </c>
      <c r="R3">
        <v>0</v>
      </c>
      <c r="S3" s="62" t="s">
        <v>596</v>
      </c>
      <c r="T3" t="s">
        <v>596</v>
      </c>
      <c r="U3" s="62">
        <v>21.700199999999999</v>
      </c>
      <c r="V3" s="62">
        <v>2.1032000000000002</v>
      </c>
      <c r="W3" s="62">
        <v>0.52810000000000001</v>
      </c>
      <c r="X3">
        <v>4.3</v>
      </c>
      <c r="Y3" t="s">
        <v>596</v>
      </c>
      <c r="Z3">
        <v>1000</v>
      </c>
    </row>
    <row r="4" spans="1:26" x14ac:dyDescent="0.25">
      <c r="A4" s="62">
        <v>1</v>
      </c>
      <c r="B4" s="62">
        <v>8.0299999999999996E-2</v>
      </c>
      <c r="C4" s="62">
        <v>1.6289</v>
      </c>
      <c r="D4" s="62">
        <v>1.9878</v>
      </c>
      <c r="E4" s="62">
        <v>4.9999000000000002</v>
      </c>
      <c r="F4" s="62">
        <v>0.78220000000000001</v>
      </c>
      <c r="G4" s="62">
        <v>1.9400000000000001E-2</v>
      </c>
      <c r="K4">
        <v>1</v>
      </c>
      <c r="L4" s="60" t="s">
        <v>422</v>
      </c>
      <c r="M4" s="60" t="s">
        <v>102</v>
      </c>
      <c r="N4" s="62">
        <v>8.0299999999999996E-2</v>
      </c>
      <c r="O4" s="62">
        <v>1.9878</v>
      </c>
      <c r="P4" t="s">
        <v>596</v>
      </c>
      <c r="Q4" s="62">
        <v>1.9400000000000001E-2</v>
      </c>
      <c r="R4">
        <v>0</v>
      </c>
      <c r="S4" t="s">
        <v>596</v>
      </c>
      <c r="T4" t="s">
        <v>596</v>
      </c>
      <c r="U4" s="62">
        <v>4.9999000000000002</v>
      </c>
      <c r="V4" s="62">
        <v>1.6289</v>
      </c>
      <c r="W4" s="62">
        <v>0.78220000000000001</v>
      </c>
      <c r="X4" s="62">
        <v>4.3</v>
      </c>
      <c r="Y4" s="62" t="s">
        <v>596</v>
      </c>
      <c r="Z4" s="62">
        <v>1000</v>
      </c>
    </row>
    <row r="5" spans="1:26" x14ac:dyDescent="0.25">
      <c r="A5" s="62">
        <v>2</v>
      </c>
      <c r="B5" s="62">
        <v>0.1075</v>
      </c>
      <c r="C5" s="62">
        <v>1.4241999999999999</v>
      </c>
      <c r="D5" s="62">
        <v>1.5529999999999999</v>
      </c>
      <c r="E5" s="62">
        <v>7.8532000000000002</v>
      </c>
      <c r="F5" s="62">
        <v>0.53090000000000004</v>
      </c>
      <c r="G5" s="62">
        <v>3.39E-2</v>
      </c>
      <c r="K5" s="62">
        <v>2</v>
      </c>
      <c r="L5" s="60" t="s">
        <v>422</v>
      </c>
      <c r="M5" s="60" t="s">
        <v>102</v>
      </c>
      <c r="N5" s="62">
        <v>0.1075</v>
      </c>
      <c r="O5" s="62">
        <v>1.5529999999999999</v>
      </c>
      <c r="P5" t="s">
        <v>596</v>
      </c>
      <c r="Q5" s="62">
        <v>3.39E-2</v>
      </c>
      <c r="R5">
        <v>0</v>
      </c>
      <c r="S5" t="s">
        <v>596</v>
      </c>
      <c r="T5" t="s">
        <v>596</v>
      </c>
      <c r="U5" s="62">
        <v>7.8532000000000002</v>
      </c>
      <c r="V5" s="62">
        <v>1.4241999999999999</v>
      </c>
      <c r="W5" s="62">
        <v>0.53090000000000004</v>
      </c>
      <c r="X5" s="62">
        <v>4.3</v>
      </c>
      <c r="Y5" s="62" t="s">
        <v>596</v>
      </c>
      <c r="Z5" s="62">
        <v>1000</v>
      </c>
    </row>
    <row r="6" spans="1:26" x14ac:dyDescent="0.25">
      <c r="A6" s="62">
        <v>3</v>
      </c>
      <c r="B6" s="62">
        <v>0.11409999999999999</v>
      </c>
      <c r="C6" s="62">
        <v>2.0514999999999999</v>
      </c>
      <c r="D6" s="62">
        <v>2.3664000000000001</v>
      </c>
      <c r="E6" s="62">
        <v>13.044</v>
      </c>
      <c r="F6" s="62">
        <v>0.50019999999999998</v>
      </c>
      <c r="G6" s="62">
        <v>1.7399999999999999E-2</v>
      </c>
      <c r="K6" s="62">
        <v>3</v>
      </c>
      <c r="L6" s="60" t="s">
        <v>422</v>
      </c>
      <c r="M6" s="60" t="s">
        <v>102</v>
      </c>
      <c r="N6" s="62">
        <v>0.11409999999999999</v>
      </c>
      <c r="O6" s="62">
        <v>2.3664000000000001</v>
      </c>
      <c r="P6" t="s">
        <v>596</v>
      </c>
      <c r="Q6" s="62">
        <v>1.7399999999999999E-2</v>
      </c>
      <c r="R6">
        <v>0</v>
      </c>
      <c r="S6" t="s">
        <v>596</v>
      </c>
      <c r="T6" t="s">
        <v>596</v>
      </c>
      <c r="U6" s="62">
        <v>13.044</v>
      </c>
      <c r="V6" s="62">
        <v>2.0514999999999999</v>
      </c>
      <c r="W6" s="62">
        <v>0.50019999999999998</v>
      </c>
      <c r="X6" s="62">
        <v>4.3</v>
      </c>
      <c r="Y6" s="62" t="s">
        <v>596</v>
      </c>
      <c r="Z6" s="62">
        <v>1000</v>
      </c>
    </row>
    <row r="7" spans="1:26" x14ac:dyDescent="0.25">
      <c r="A7" s="62">
        <v>4</v>
      </c>
      <c r="B7" s="62">
        <v>0.13969999999999999</v>
      </c>
      <c r="C7" s="62">
        <v>1.6426000000000001</v>
      </c>
      <c r="D7" s="62">
        <v>1.9878</v>
      </c>
      <c r="E7" s="62">
        <v>15.3545</v>
      </c>
      <c r="F7" s="62">
        <v>0.50729999999999997</v>
      </c>
      <c r="G7" s="62">
        <v>3.32E-2</v>
      </c>
      <c r="K7" s="62">
        <v>4</v>
      </c>
      <c r="L7" s="60" t="s">
        <v>422</v>
      </c>
      <c r="M7" s="60" t="s">
        <v>102</v>
      </c>
      <c r="N7" s="62">
        <v>0.13969999999999999</v>
      </c>
      <c r="O7" s="62">
        <v>1.9878</v>
      </c>
      <c r="P7" t="s">
        <v>596</v>
      </c>
      <c r="Q7" s="62">
        <v>3.32E-2</v>
      </c>
      <c r="R7">
        <v>0</v>
      </c>
      <c r="S7" t="s">
        <v>596</v>
      </c>
      <c r="T7" t="s">
        <v>596</v>
      </c>
      <c r="U7" s="62">
        <v>15.3545</v>
      </c>
      <c r="V7" s="62">
        <v>1.6426000000000001</v>
      </c>
      <c r="W7" s="62">
        <v>0.50729999999999997</v>
      </c>
      <c r="X7" s="62">
        <v>4.3</v>
      </c>
      <c r="Y7" s="62" t="s">
        <v>596</v>
      </c>
      <c r="Z7" s="62">
        <v>1000</v>
      </c>
    </row>
    <row r="8" spans="1:26" x14ac:dyDescent="0.25">
      <c r="A8" s="62">
        <v>5</v>
      </c>
      <c r="B8" s="62">
        <v>0.14710000000000001</v>
      </c>
      <c r="C8" s="62">
        <v>2.4605000000000001</v>
      </c>
      <c r="D8" s="62">
        <v>2.6861999999999999</v>
      </c>
      <c r="E8" s="62">
        <v>27.0061</v>
      </c>
      <c r="F8" s="62">
        <v>0.48</v>
      </c>
      <c r="G8" s="62">
        <v>1.5699999999999999E-2</v>
      </c>
      <c r="K8" s="62">
        <v>5</v>
      </c>
      <c r="L8" s="60" t="s">
        <v>422</v>
      </c>
      <c r="M8" s="60" t="s">
        <v>102</v>
      </c>
      <c r="N8" s="62">
        <v>0.14710000000000001</v>
      </c>
      <c r="O8" s="62">
        <v>2.6861999999999999</v>
      </c>
      <c r="P8" t="s">
        <v>596</v>
      </c>
      <c r="Q8" s="62">
        <v>1.5699999999999999E-2</v>
      </c>
      <c r="R8">
        <v>0</v>
      </c>
      <c r="S8" t="s">
        <v>596</v>
      </c>
      <c r="T8" t="s">
        <v>596</v>
      </c>
      <c r="U8" s="62">
        <v>27.0061</v>
      </c>
      <c r="V8" s="62">
        <v>2.4605000000000001</v>
      </c>
      <c r="W8" s="62">
        <v>0.48</v>
      </c>
      <c r="X8" s="62">
        <v>4.3</v>
      </c>
      <c r="Y8" s="62" t="s">
        <v>596</v>
      </c>
      <c r="Z8" s="62">
        <v>1000</v>
      </c>
    </row>
    <row r="9" spans="1:26" x14ac:dyDescent="0.25">
      <c r="A9" s="62">
        <v>6</v>
      </c>
      <c r="B9" s="62">
        <v>0.20780000000000001</v>
      </c>
      <c r="C9" s="62">
        <v>1.8373999999999999</v>
      </c>
      <c r="D9" s="62">
        <v>2.0706000000000002</v>
      </c>
      <c r="E9" s="62">
        <v>38.299300000000002</v>
      </c>
      <c r="F9" s="62">
        <v>0.47899999999999998</v>
      </c>
      <c r="G9" s="62">
        <v>3.9399999999999998E-2</v>
      </c>
      <c r="K9" s="62">
        <v>6</v>
      </c>
      <c r="L9" s="60" t="s">
        <v>422</v>
      </c>
      <c r="M9" s="60" t="s">
        <v>102</v>
      </c>
      <c r="N9" s="62">
        <v>0.20780000000000001</v>
      </c>
      <c r="O9" s="62">
        <v>2.0706000000000002</v>
      </c>
      <c r="P9" t="s">
        <v>596</v>
      </c>
      <c r="Q9" s="62">
        <v>3.9399999999999998E-2</v>
      </c>
      <c r="R9">
        <v>0</v>
      </c>
      <c r="S9" t="s">
        <v>596</v>
      </c>
      <c r="T9" t="s">
        <v>596</v>
      </c>
      <c r="U9" s="62">
        <v>38.299300000000002</v>
      </c>
      <c r="V9" s="62">
        <v>1.8373999999999999</v>
      </c>
      <c r="W9" s="62">
        <v>0.47899999999999998</v>
      </c>
      <c r="X9" s="62">
        <v>4.3</v>
      </c>
      <c r="Y9" s="62" t="s">
        <v>596</v>
      </c>
      <c r="Z9" s="62">
        <v>1000</v>
      </c>
    </row>
    <row r="10" spans="1:26" x14ac:dyDescent="0.25">
      <c r="A10" s="62">
        <v>7</v>
      </c>
      <c r="B10" s="62">
        <v>0.1431</v>
      </c>
      <c r="C10" s="62">
        <v>1.6534</v>
      </c>
      <c r="D10" s="62">
        <v>1.9878</v>
      </c>
      <c r="E10" s="62">
        <v>16.154699999999998</v>
      </c>
      <c r="F10" s="62">
        <v>0.62560000000000004</v>
      </c>
      <c r="G10" s="62">
        <v>3.3500000000000002E-2</v>
      </c>
      <c r="K10" s="62">
        <v>7</v>
      </c>
      <c r="L10" s="60" t="s">
        <v>424</v>
      </c>
      <c r="M10" s="60" t="s">
        <v>102</v>
      </c>
      <c r="N10" s="62">
        <v>0.1431</v>
      </c>
      <c r="O10" s="62">
        <v>1.9878</v>
      </c>
      <c r="P10" t="s">
        <v>596</v>
      </c>
      <c r="Q10" s="62">
        <v>3.3500000000000002E-2</v>
      </c>
      <c r="R10">
        <v>0</v>
      </c>
      <c r="S10" t="s">
        <v>523</v>
      </c>
      <c r="T10">
        <v>10</v>
      </c>
      <c r="U10" s="62">
        <v>16.154699999999998</v>
      </c>
      <c r="V10" s="62">
        <v>1.6534</v>
      </c>
      <c r="W10" s="62">
        <v>0.62560000000000004</v>
      </c>
      <c r="X10" s="62">
        <v>4.3</v>
      </c>
      <c r="Y10" s="62" t="s">
        <v>596</v>
      </c>
      <c r="Z10" s="62">
        <v>1000</v>
      </c>
    </row>
    <row r="11" spans="1:26" x14ac:dyDescent="0.25">
      <c r="A11" s="62">
        <v>8</v>
      </c>
      <c r="B11" s="62">
        <v>0.112</v>
      </c>
      <c r="C11" s="62">
        <v>2.4655</v>
      </c>
      <c r="D11" s="62">
        <v>3.3130000000000002</v>
      </c>
      <c r="E11" s="62">
        <v>16.121300000000002</v>
      </c>
      <c r="F11" s="62">
        <v>0.57299999999999995</v>
      </c>
      <c r="G11" s="62">
        <v>1.1900000000000001E-2</v>
      </c>
      <c r="K11" s="62">
        <v>8</v>
      </c>
      <c r="L11" s="60" t="s">
        <v>426</v>
      </c>
      <c r="M11" s="146" t="s">
        <v>103</v>
      </c>
      <c r="N11" s="62">
        <v>0.112</v>
      </c>
      <c r="O11" s="62">
        <v>3.3130000000000002</v>
      </c>
      <c r="P11" t="s">
        <v>596</v>
      </c>
      <c r="Q11" s="62">
        <v>1.1900000000000001E-2</v>
      </c>
      <c r="S11" t="s">
        <v>524</v>
      </c>
      <c r="T11" t="s">
        <v>596</v>
      </c>
      <c r="U11" s="62">
        <v>16.121300000000002</v>
      </c>
      <c r="V11" s="62">
        <v>2.4655</v>
      </c>
      <c r="W11" s="62">
        <v>0.57299999999999995</v>
      </c>
      <c r="X11" s="62">
        <v>4.3</v>
      </c>
      <c r="Y11" s="62" t="s">
        <v>596</v>
      </c>
      <c r="Z11" s="62">
        <v>1000</v>
      </c>
    </row>
    <row r="12" spans="1:26" x14ac:dyDescent="0.25">
      <c r="A12" s="62">
        <v>9</v>
      </c>
      <c r="B12" s="62">
        <v>0.27439999999999998</v>
      </c>
      <c r="C12" s="62">
        <v>1.7427999999999999</v>
      </c>
      <c r="D12" s="62">
        <v>1.8181</v>
      </c>
      <c r="E12" s="62">
        <v>62.6492</v>
      </c>
      <c r="F12" s="62">
        <v>0.94710000000000005</v>
      </c>
      <c r="G12" s="62">
        <v>5.79E-2</v>
      </c>
      <c r="K12" s="62">
        <v>9</v>
      </c>
      <c r="L12" s="60" t="s">
        <v>424</v>
      </c>
      <c r="M12" s="88" t="s">
        <v>101</v>
      </c>
      <c r="N12" s="62">
        <v>0.27439999999999998</v>
      </c>
      <c r="O12" s="62">
        <v>1.8181</v>
      </c>
      <c r="Q12" s="62">
        <v>5.79E-2</v>
      </c>
      <c r="R12" s="151">
        <v>0</v>
      </c>
      <c r="S12" s="62" t="s">
        <v>523</v>
      </c>
      <c r="T12">
        <v>7</v>
      </c>
      <c r="U12" s="62">
        <v>62.6492</v>
      </c>
      <c r="V12" s="62">
        <v>1.7427999999999999</v>
      </c>
      <c r="W12" s="62">
        <v>0.94710000000000005</v>
      </c>
      <c r="X12">
        <v>4.3</v>
      </c>
      <c r="Z12">
        <v>1000</v>
      </c>
    </row>
    <row r="13" spans="1:26" x14ac:dyDescent="0.25">
      <c r="A13" s="62">
        <v>10</v>
      </c>
      <c r="B13" s="62">
        <v>0.35539999999999999</v>
      </c>
      <c r="C13" s="62">
        <v>2.2286000000000001</v>
      </c>
      <c r="D13" s="62">
        <v>2.3529</v>
      </c>
      <c r="E13" s="62">
        <v>137.01310000000001</v>
      </c>
      <c r="F13" s="62">
        <v>1.2048000000000001</v>
      </c>
      <c r="G13" s="62">
        <v>4.58E-2</v>
      </c>
      <c r="K13" s="62">
        <v>10</v>
      </c>
      <c r="L13" s="60" t="s">
        <v>424</v>
      </c>
      <c r="M13" s="88" t="s">
        <v>101</v>
      </c>
      <c r="N13" s="62">
        <v>0.35539999999999999</v>
      </c>
      <c r="O13" s="62">
        <v>2.3529</v>
      </c>
      <c r="Q13" s="62">
        <v>4.58E-2</v>
      </c>
      <c r="R13" s="151">
        <v>0</v>
      </c>
      <c r="S13" s="62" t="s">
        <v>523</v>
      </c>
      <c r="T13">
        <v>7</v>
      </c>
      <c r="U13" s="62">
        <v>137.01310000000001</v>
      </c>
      <c r="V13" s="62">
        <v>2.2286000000000001</v>
      </c>
      <c r="W13" s="62">
        <v>1.2048000000000001</v>
      </c>
      <c r="X13">
        <v>4.3</v>
      </c>
      <c r="Z13">
        <v>1000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6" tint="0.39997558519241921"/>
    <pageSetUpPr fitToPage="1"/>
  </sheetPr>
  <dimension ref="A1:S14"/>
  <sheetViews>
    <sheetView workbookViewId="0">
      <selection activeCell="M15" sqref="M15"/>
    </sheetView>
  </sheetViews>
  <sheetFormatPr defaultColWidth="8.7109375" defaultRowHeight="15" x14ac:dyDescent="0.25"/>
  <cols>
    <col min="1" max="1" width="31.42578125" style="44" customWidth="1"/>
    <col min="2" max="3" width="31.42578125" style="76" customWidth="1"/>
    <col min="4" max="7" width="22.7109375" style="44" customWidth="1"/>
    <col min="8" max="9" width="22.7109375" style="76" customWidth="1"/>
    <col min="10" max="11" width="22.140625" style="76" customWidth="1"/>
    <col min="12" max="15" width="22.7109375" style="76" customWidth="1"/>
    <col min="16" max="16" width="22.7109375" style="44" customWidth="1"/>
    <col min="17" max="17" width="26.42578125" style="44" customWidth="1"/>
    <col min="18" max="19" width="22.7109375" style="44" customWidth="1"/>
    <col min="20" max="16384" width="8.7109375" style="44"/>
  </cols>
  <sheetData>
    <row r="1" spans="1:19" x14ac:dyDescent="0.25">
      <c r="A1" s="40" t="s">
        <v>7</v>
      </c>
      <c r="B1" s="77"/>
      <c r="C1" s="77"/>
      <c r="D1" s="40"/>
      <c r="E1" s="40"/>
      <c r="F1" s="40"/>
      <c r="G1" s="40"/>
      <c r="H1" s="77"/>
      <c r="I1" s="77"/>
      <c r="J1" s="77"/>
      <c r="K1" s="77"/>
      <c r="L1" s="77"/>
      <c r="M1" s="77"/>
      <c r="N1" s="77"/>
      <c r="O1" s="77"/>
      <c r="P1" s="40"/>
      <c r="Q1" s="45"/>
      <c r="R1" s="45"/>
      <c r="S1" s="45"/>
    </row>
    <row r="2" spans="1:19" ht="15" customHeight="1" x14ac:dyDescent="0.25">
      <c r="A2" s="96" t="s">
        <v>478</v>
      </c>
      <c r="B2" s="96"/>
      <c r="C2" s="96"/>
      <c r="D2" s="96"/>
      <c r="E2" s="96"/>
      <c r="F2" s="96"/>
      <c r="G2" s="96"/>
      <c r="H2" s="96"/>
      <c r="I2" s="96"/>
      <c r="J2" s="96"/>
      <c r="K2" s="96"/>
      <c r="L2" s="96"/>
      <c r="M2" s="96"/>
      <c r="N2" s="96"/>
      <c r="O2" s="96"/>
      <c r="P2" s="96"/>
      <c r="Q2" s="45"/>
      <c r="R2" s="45"/>
      <c r="S2" s="45"/>
    </row>
    <row r="3" spans="1:19" x14ac:dyDescent="0.25">
      <c r="A3" s="96"/>
      <c r="B3" s="96"/>
      <c r="C3" s="96"/>
      <c r="D3" s="96"/>
      <c r="E3" s="96"/>
      <c r="F3" s="96"/>
      <c r="G3" s="96"/>
      <c r="H3" s="96"/>
      <c r="I3" s="96"/>
      <c r="J3" s="96"/>
      <c r="K3" s="96"/>
      <c r="L3" s="96"/>
      <c r="M3" s="96"/>
      <c r="N3" s="96"/>
      <c r="O3" s="96"/>
      <c r="P3" s="96"/>
      <c r="Q3" s="45"/>
      <c r="R3" s="45"/>
      <c r="S3" s="45"/>
    </row>
    <row r="4" spans="1:19" x14ac:dyDescent="0.25">
      <c r="A4" s="96"/>
      <c r="B4" s="96"/>
      <c r="C4" s="96"/>
      <c r="D4" s="96"/>
      <c r="E4" s="96"/>
      <c r="F4" s="96"/>
      <c r="G4" s="96"/>
      <c r="H4" s="96"/>
      <c r="I4" s="96"/>
      <c r="J4" s="96"/>
      <c r="K4" s="96"/>
      <c r="L4" s="96"/>
      <c r="M4" s="96"/>
      <c r="N4" s="96"/>
      <c r="O4" s="96"/>
      <c r="P4" s="96"/>
      <c r="Q4" s="45"/>
      <c r="R4" s="45"/>
      <c r="S4" s="45"/>
    </row>
    <row r="5" spans="1:19" x14ac:dyDescent="0.25">
      <c r="A5" s="96"/>
      <c r="B5" s="96"/>
      <c r="C5" s="96"/>
      <c r="D5" s="96"/>
      <c r="E5" s="96"/>
      <c r="F5" s="96"/>
      <c r="G5" s="96"/>
      <c r="H5" s="96"/>
      <c r="I5" s="96"/>
      <c r="J5" s="96"/>
      <c r="K5" s="96"/>
      <c r="L5" s="96"/>
      <c r="M5" s="96"/>
      <c r="N5" s="96"/>
      <c r="O5" s="96"/>
      <c r="P5" s="96"/>
      <c r="Q5" s="45"/>
      <c r="R5" s="45"/>
      <c r="S5" s="45"/>
    </row>
    <row r="6" spans="1:19" ht="17.100000000000001" customHeight="1" x14ac:dyDescent="0.25">
      <c r="A6" s="96"/>
      <c r="B6" s="96"/>
      <c r="C6" s="96"/>
      <c r="D6" s="96"/>
      <c r="E6" s="96"/>
      <c r="F6" s="96"/>
      <c r="G6" s="96"/>
      <c r="H6" s="96"/>
      <c r="I6" s="96"/>
      <c r="J6" s="96"/>
      <c r="K6" s="96"/>
      <c r="L6" s="96"/>
      <c r="M6" s="96"/>
      <c r="N6" s="96"/>
      <c r="O6" s="96"/>
      <c r="P6" s="96"/>
      <c r="Q6" s="45"/>
      <c r="R6" s="45"/>
      <c r="S6" s="45"/>
    </row>
    <row r="7" spans="1:19" ht="15.95" customHeight="1" x14ac:dyDescent="0.25">
      <c r="A7" s="96"/>
      <c r="B7" s="96"/>
      <c r="C7" s="96"/>
      <c r="D7" s="96"/>
      <c r="E7" s="96"/>
      <c r="F7" s="96"/>
      <c r="G7" s="96"/>
      <c r="H7" s="96"/>
      <c r="I7" s="96"/>
      <c r="J7" s="96"/>
      <c r="K7" s="96"/>
      <c r="L7" s="96"/>
      <c r="M7" s="96"/>
      <c r="N7" s="96"/>
      <c r="O7" s="96"/>
      <c r="P7" s="96"/>
      <c r="Q7" s="45"/>
      <c r="R7" s="45"/>
      <c r="S7" s="45"/>
    </row>
    <row r="8" spans="1:19" ht="14.1" customHeight="1" x14ac:dyDescent="0.25">
      <c r="A8" s="101" t="s">
        <v>265</v>
      </c>
      <c r="B8" s="102"/>
      <c r="C8" s="102"/>
      <c r="D8" s="102"/>
      <c r="E8" s="102"/>
      <c r="F8" s="102"/>
      <c r="G8" s="102"/>
      <c r="H8" s="102"/>
      <c r="I8" s="102"/>
      <c r="J8" s="102"/>
      <c r="K8" s="102"/>
      <c r="L8" s="102"/>
      <c r="M8" s="102"/>
      <c r="N8" s="102"/>
      <c r="O8" s="102"/>
      <c r="P8" s="103"/>
      <c r="Q8" s="97" t="s">
        <v>274</v>
      </c>
      <c r="R8" s="98"/>
      <c r="S8" s="98"/>
    </row>
    <row r="9" spans="1:19" ht="59.25" customHeight="1" x14ac:dyDescent="0.25">
      <c r="A9" s="94" t="s">
        <v>299</v>
      </c>
      <c r="B9" s="94" t="s">
        <v>76</v>
      </c>
      <c r="C9" s="94" t="s">
        <v>78</v>
      </c>
      <c r="D9" s="94" t="s">
        <v>273</v>
      </c>
      <c r="E9" s="94" t="s">
        <v>281</v>
      </c>
      <c r="F9" s="94" t="s">
        <v>271</v>
      </c>
      <c r="G9" s="94" t="s">
        <v>270</v>
      </c>
      <c r="H9" s="94" t="s">
        <v>394</v>
      </c>
      <c r="I9" s="94" t="s">
        <v>390</v>
      </c>
      <c r="J9" s="94" t="s">
        <v>408</v>
      </c>
      <c r="K9" s="94" t="s">
        <v>400</v>
      </c>
      <c r="L9" s="94" t="s">
        <v>409</v>
      </c>
      <c r="M9" s="94" t="s">
        <v>410</v>
      </c>
      <c r="N9" s="94" t="s">
        <v>272</v>
      </c>
      <c r="O9" s="94" t="s">
        <v>406</v>
      </c>
      <c r="P9" s="94" t="s">
        <v>405</v>
      </c>
      <c r="Q9" s="99" t="s">
        <v>275</v>
      </c>
      <c r="R9" s="99" t="s">
        <v>277</v>
      </c>
      <c r="S9" s="99" t="s">
        <v>311</v>
      </c>
    </row>
    <row r="10" spans="1:19" ht="26.1" customHeight="1" x14ac:dyDescent="0.25">
      <c r="A10" s="95"/>
      <c r="B10" s="95"/>
      <c r="C10" s="95"/>
      <c r="D10" s="95"/>
      <c r="E10" s="95"/>
      <c r="F10" s="95"/>
      <c r="G10" s="95"/>
      <c r="H10" s="95"/>
      <c r="I10" s="95"/>
      <c r="J10" s="95"/>
      <c r="K10" s="95"/>
      <c r="L10" s="95"/>
      <c r="M10" s="95"/>
      <c r="N10" s="95"/>
      <c r="O10" s="95"/>
      <c r="P10" s="95"/>
      <c r="Q10" s="100"/>
      <c r="R10" s="100"/>
      <c r="S10" s="100"/>
    </row>
    <row r="11" spans="1:19" ht="90" x14ac:dyDescent="0.25">
      <c r="A11" s="43" t="s">
        <v>315</v>
      </c>
      <c r="B11" s="78" t="s">
        <v>77</v>
      </c>
      <c r="C11" s="78" t="s">
        <v>79</v>
      </c>
      <c r="D11" s="43" t="s">
        <v>80</v>
      </c>
      <c r="E11" s="43" t="s">
        <v>81</v>
      </c>
      <c r="F11" s="43" t="s">
        <v>82</v>
      </c>
      <c r="G11" s="43" t="s">
        <v>83</v>
      </c>
      <c r="H11" s="78" t="s">
        <v>376</v>
      </c>
      <c r="I11" s="78"/>
      <c r="J11" s="78" t="s">
        <v>393</v>
      </c>
      <c r="K11" s="78" t="s">
        <v>401</v>
      </c>
      <c r="L11" s="78" t="s">
        <v>411</v>
      </c>
      <c r="M11" s="78" t="s">
        <v>412</v>
      </c>
      <c r="N11" s="78" t="s">
        <v>280</v>
      </c>
      <c r="O11" s="78" t="s">
        <v>407</v>
      </c>
      <c r="P11" s="43" t="s">
        <v>403</v>
      </c>
      <c r="Q11" s="70" t="s">
        <v>276</v>
      </c>
      <c r="R11" s="70"/>
      <c r="S11" s="70" t="s">
        <v>136</v>
      </c>
    </row>
    <row r="12" spans="1:19" s="30" customFormat="1" ht="12" customHeight="1" x14ac:dyDescent="0.2">
      <c r="A12" s="46" t="s">
        <v>302</v>
      </c>
      <c r="B12" s="46" t="s">
        <v>369</v>
      </c>
      <c r="C12" s="46" t="s">
        <v>370</v>
      </c>
      <c r="D12" s="46" t="s">
        <v>266</v>
      </c>
      <c r="E12" s="41" t="s">
        <v>267</v>
      </c>
      <c r="F12" s="41" t="s">
        <v>268</v>
      </c>
      <c r="G12" s="41" t="s">
        <v>269</v>
      </c>
      <c r="H12" s="79" t="s">
        <v>389</v>
      </c>
      <c r="I12" s="79" t="s">
        <v>391</v>
      </c>
      <c r="J12" s="79" t="s">
        <v>392</v>
      </c>
      <c r="K12" s="79" t="s">
        <v>402</v>
      </c>
      <c r="L12" s="79" t="s">
        <v>398</v>
      </c>
      <c r="M12" s="79" t="s">
        <v>399</v>
      </c>
      <c r="N12" s="79" t="s">
        <v>300</v>
      </c>
      <c r="O12" s="79" t="s">
        <v>413</v>
      </c>
      <c r="P12" s="41" t="s">
        <v>404</v>
      </c>
      <c r="Q12" s="46" t="s">
        <v>278</v>
      </c>
      <c r="R12" s="46" t="s">
        <v>279</v>
      </c>
      <c r="S12" s="46" t="s">
        <v>148</v>
      </c>
    </row>
    <row r="13" spans="1:19" ht="45" x14ac:dyDescent="0.25">
      <c r="A13" s="44">
        <v>1</v>
      </c>
      <c r="B13" s="76" t="s">
        <v>677</v>
      </c>
      <c r="C13" s="76" t="s">
        <v>676</v>
      </c>
      <c r="D13" s="44" t="s">
        <v>174</v>
      </c>
      <c r="E13" s="44" t="s">
        <v>120</v>
      </c>
      <c r="F13" s="44">
        <v>30</v>
      </c>
      <c r="G13" s="44">
        <v>8</v>
      </c>
      <c r="H13" s="76" t="s">
        <v>387</v>
      </c>
      <c r="I13" s="76">
        <v>16</v>
      </c>
      <c r="J13" s="155" t="s">
        <v>678</v>
      </c>
      <c r="K13" s="76" t="s">
        <v>679</v>
      </c>
      <c r="L13" s="76" t="s">
        <v>395</v>
      </c>
      <c r="N13" s="76">
        <v>4.3</v>
      </c>
      <c r="O13" s="76" t="s">
        <v>680</v>
      </c>
      <c r="P13" s="44" t="s">
        <v>681</v>
      </c>
      <c r="Q13" s="44" t="s">
        <v>682</v>
      </c>
      <c r="R13" s="44">
        <v>1</v>
      </c>
    </row>
    <row r="14" spans="1:19" ht="45" x14ac:dyDescent="0.25">
      <c r="A14" s="76">
        <v>2</v>
      </c>
      <c r="B14" s="76" t="s">
        <v>677</v>
      </c>
      <c r="C14" s="76" t="s">
        <v>676</v>
      </c>
      <c r="D14" s="76" t="s">
        <v>174</v>
      </c>
      <c r="E14" s="76" t="s">
        <v>120</v>
      </c>
      <c r="F14" s="76">
        <v>30</v>
      </c>
      <c r="G14" s="76">
        <v>8</v>
      </c>
      <c r="H14" s="76" t="s">
        <v>387</v>
      </c>
      <c r="I14" s="76">
        <v>16</v>
      </c>
      <c r="J14" s="155" t="s">
        <v>678</v>
      </c>
      <c r="K14" s="76" t="s">
        <v>679</v>
      </c>
      <c r="L14" s="76" t="s">
        <v>395</v>
      </c>
      <c r="M14" s="76" t="s">
        <v>395</v>
      </c>
      <c r="N14" s="76">
        <v>4.3</v>
      </c>
      <c r="O14" s="76" t="s">
        <v>680</v>
      </c>
      <c r="P14" s="76" t="s">
        <v>681</v>
      </c>
      <c r="Q14" s="76" t="s">
        <v>682</v>
      </c>
      <c r="R14" s="76">
        <v>1</v>
      </c>
      <c r="S14" s="76"/>
    </row>
  </sheetData>
  <mergeCells count="22">
    <mergeCell ref="A2:P7"/>
    <mergeCell ref="A9:A10"/>
    <mergeCell ref="D9:D10"/>
    <mergeCell ref="P9:P10"/>
    <mergeCell ref="Q8:S8"/>
    <mergeCell ref="S9:S10"/>
    <mergeCell ref="A8:P8"/>
    <mergeCell ref="Q9:Q10"/>
    <mergeCell ref="R9:R10"/>
    <mergeCell ref="B9:B10"/>
    <mergeCell ref="C9:C10"/>
    <mergeCell ref="G9:G10"/>
    <mergeCell ref="F9:F10"/>
    <mergeCell ref="E9:E10"/>
    <mergeCell ref="N9:N10"/>
    <mergeCell ref="O9:O10"/>
    <mergeCell ref="H9:H10"/>
    <mergeCell ref="I9:I10"/>
    <mergeCell ref="J9:J10"/>
    <mergeCell ref="L9:L10"/>
    <mergeCell ref="M9:M10"/>
    <mergeCell ref="K9:K10"/>
  </mergeCells>
  <pageMargins left="0.7" right="0.7" top="0.75" bottom="0.75" header="0.3" footer="0.3"/>
  <pageSetup paperSize="17" fitToWidth="2"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7" tint="0.59999389629810485"/>
    <pageSetUpPr fitToPage="1"/>
  </sheetPr>
  <dimension ref="A1:V43"/>
  <sheetViews>
    <sheetView zoomScale="96" zoomScaleNormal="96" zoomScalePageLayoutView="96" workbookViewId="0">
      <selection activeCell="U43" sqref="U43"/>
    </sheetView>
  </sheetViews>
  <sheetFormatPr defaultColWidth="8.85546875" defaultRowHeight="15" x14ac:dyDescent="0.25"/>
  <cols>
    <col min="1" max="1" width="30.85546875" style="72" customWidth="1"/>
    <col min="2" max="2" width="27.42578125" style="44" customWidth="1"/>
    <col min="3" max="5" width="31.42578125" style="76" customWidth="1"/>
    <col min="6" max="8" width="31.42578125" style="44" customWidth="1"/>
    <col min="9" max="9" width="31.42578125" style="76" customWidth="1"/>
    <col min="10" max="10" width="31.42578125" style="44" customWidth="1"/>
    <col min="11" max="11" width="31.42578125" style="76" customWidth="1"/>
    <col min="12" max="14" width="22.7109375" style="44" customWidth="1"/>
    <col min="15" max="15" width="22.7109375" style="76" customWidth="1"/>
    <col min="16" max="20" width="22.7109375" style="44" customWidth="1"/>
    <col min="21" max="22" width="22.7109375" customWidth="1"/>
  </cols>
  <sheetData>
    <row r="1" spans="1:22" x14ac:dyDescent="0.25">
      <c r="A1" s="71" t="s">
        <v>7</v>
      </c>
      <c r="B1" s="40"/>
      <c r="C1" s="77"/>
      <c r="D1" s="77"/>
      <c r="E1" s="77"/>
      <c r="F1" s="40"/>
      <c r="G1" s="40"/>
      <c r="H1" s="40"/>
      <c r="I1" s="77"/>
      <c r="J1" s="40"/>
      <c r="K1" s="77"/>
      <c r="L1" s="45"/>
      <c r="M1" s="45"/>
      <c r="N1" s="45"/>
      <c r="O1" s="45"/>
      <c r="P1" s="45"/>
      <c r="Q1" s="45"/>
      <c r="R1" s="45"/>
      <c r="S1" s="45"/>
      <c r="T1" s="45"/>
    </row>
    <row r="2" spans="1:22" ht="14.45" customHeight="1" x14ac:dyDescent="0.25">
      <c r="A2" s="104" t="s">
        <v>479</v>
      </c>
      <c r="B2" s="104"/>
      <c r="C2" s="104"/>
      <c r="D2" s="104"/>
      <c r="E2" s="104"/>
      <c r="F2" s="104"/>
      <c r="G2" s="104"/>
      <c r="H2" s="104"/>
      <c r="I2" s="104"/>
      <c r="J2" s="81"/>
      <c r="K2" s="81"/>
      <c r="L2" s="81"/>
      <c r="M2" s="81"/>
      <c r="N2" s="81"/>
      <c r="O2" s="81"/>
      <c r="P2" s="81"/>
      <c r="Q2" s="81"/>
      <c r="R2" s="81"/>
      <c r="S2" s="81"/>
      <c r="T2" s="81"/>
      <c r="U2" s="81"/>
      <c r="V2" s="81"/>
    </row>
    <row r="3" spans="1:22" x14ac:dyDescent="0.25">
      <c r="A3" s="104"/>
      <c r="B3" s="104"/>
      <c r="C3" s="104"/>
      <c r="D3" s="104"/>
      <c r="E3" s="104"/>
      <c r="F3" s="104"/>
      <c r="G3" s="104"/>
      <c r="H3" s="104"/>
      <c r="I3" s="104"/>
      <c r="J3" s="81"/>
      <c r="K3" s="81"/>
      <c r="L3" s="81"/>
      <c r="M3" s="81"/>
      <c r="N3" s="81"/>
      <c r="O3" s="81"/>
      <c r="P3" s="81"/>
      <c r="Q3" s="81"/>
      <c r="R3" s="81"/>
      <c r="S3" s="81"/>
      <c r="T3" s="81"/>
      <c r="U3" s="81"/>
      <c r="V3" s="81"/>
    </row>
    <row r="4" spans="1:22" x14ac:dyDescent="0.25">
      <c r="A4" s="104"/>
      <c r="B4" s="104"/>
      <c r="C4" s="104"/>
      <c r="D4" s="104"/>
      <c r="E4" s="104"/>
      <c r="F4" s="104"/>
      <c r="G4" s="104"/>
      <c r="H4" s="104"/>
      <c r="I4" s="104"/>
      <c r="J4" s="81"/>
      <c r="K4" s="81"/>
      <c r="L4" s="81"/>
      <c r="M4" s="81"/>
      <c r="N4" s="81"/>
      <c r="O4" s="81"/>
      <c r="P4" s="81"/>
      <c r="Q4" s="81"/>
      <c r="R4" s="81"/>
      <c r="S4" s="81"/>
      <c r="T4" s="81"/>
      <c r="U4" s="81"/>
      <c r="V4" s="81"/>
    </row>
    <row r="5" spans="1:22" x14ac:dyDescent="0.25">
      <c r="A5" s="104"/>
      <c r="B5" s="104"/>
      <c r="C5" s="104"/>
      <c r="D5" s="104"/>
      <c r="E5" s="104"/>
      <c r="F5" s="104"/>
      <c r="G5" s="104"/>
      <c r="H5" s="104"/>
      <c r="I5" s="104"/>
      <c r="J5" s="81"/>
      <c r="K5" s="81"/>
      <c r="L5" s="81"/>
      <c r="M5" s="81"/>
      <c r="N5" s="81"/>
      <c r="O5" s="81"/>
      <c r="P5" s="81"/>
      <c r="Q5" s="81"/>
      <c r="R5" s="81"/>
      <c r="S5" s="81"/>
      <c r="T5" s="81"/>
      <c r="U5" s="81"/>
      <c r="V5" s="81"/>
    </row>
    <row r="6" spans="1:22" x14ac:dyDescent="0.25">
      <c r="A6" s="104"/>
      <c r="B6" s="104"/>
      <c r="C6" s="104"/>
      <c r="D6" s="104"/>
      <c r="E6" s="104"/>
      <c r="F6" s="104"/>
      <c r="G6" s="104"/>
      <c r="H6" s="104"/>
      <c r="I6" s="104"/>
      <c r="J6" s="81"/>
      <c r="K6" s="81"/>
      <c r="L6" s="81"/>
      <c r="M6" s="81"/>
      <c r="N6" s="81"/>
      <c r="O6" s="81"/>
      <c r="P6" s="81"/>
      <c r="Q6" s="81"/>
      <c r="R6" s="81"/>
      <c r="S6" s="81"/>
      <c r="T6" s="81"/>
      <c r="U6" s="81"/>
      <c r="V6" s="81"/>
    </row>
    <row r="7" spans="1:22" ht="48.95" customHeight="1" x14ac:dyDescent="0.25">
      <c r="A7" s="105"/>
      <c r="B7" s="105"/>
      <c r="C7" s="105"/>
      <c r="D7" s="105"/>
      <c r="E7" s="105"/>
      <c r="F7" s="105"/>
      <c r="G7" s="105"/>
      <c r="H7" s="105"/>
      <c r="I7" s="105"/>
      <c r="J7" s="82"/>
      <c r="K7" s="82"/>
      <c r="L7" s="82"/>
      <c r="M7" s="82"/>
      <c r="N7" s="82"/>
      <c r="O7" s="82"/>
      <c r="P7" s="82"/>
      <c r="Q7" s="82"/>
      <c r="R7" s="82"/>
      <c r="S7" s="82"/>
      <c r="T7" s="81"/>
      <c r="U7" s="81"/>
      <c r="V7" s="81"/>
    </row>
    <row r="8" spans="1:22" ht="15" customHeight="1" x14ac:dyDescent="0.25">
      <c r="A8" s="125" t="s">
        <v>232</v>
      </c>
      <c r="B8" s="126"/>
      <c r="C8" s="126"/>
      <c r="D8" s="126"/>
      <c r="E8" s="126"/>
      <c r="F8" s="126"/>
      <c r="G8" s="126"/>
      <c r="H8" s="126"/>
      <c r="I8" s="126"/>
      <c r="J8" s="126"/>
      <c r="K8" s="127"/>
      <c r="L8" s="119" t="s">
        <v>237</v>
      </c>
      <c r="M8" s="120"/>
      <c r="N8" s="120"/>
      <c r="O8" s="120"/>
      <c r="P8" s="121"/>
      <c r="Q8" s="122" t="s">
        <v>245</v>
      </c>
      <c r="R8" s="123"/>
      <c r="S8" s="124"/>
      <c r="T8" s="112" t="s">
        <v>314</v>
      </c>
      <c r="U8" s="113"/>
      <c r="V8" s="114"/>
    </row>
    <row r="9" spans="1:22" ht="15" customHeight="1" x14ac:dyDescent="0.25">
      <c r="A9" s="106" t="s">
        <v>317</v>
      </c>
      <c r="B9" s="106" t="s">
        <v>240</v>
      </c>
      <c r="C9" s="106" t="s">
        <v>470</v>
      </c>
      <c r="D9" s="106" t="s">
        <v>471</v>
      </c>
      <c r="E9" s="106" t="s">
        <v>472</v>
      </c>
      <c r="F9" s="106" t="s">
        <v>286</v>
      </c>
      <c r="G9" s="106" t="s">
        <v>284</v>
      </c>
      <c r="H9" s="106" t="s">
        <v>305</v>
      </c>
      <c r="I9" s="106" t="s">
        <v>285</v>
      </c>
      <c r="J9" s="106" t="s">
        <v>282</v>
      </c>
      <c r="K9" s="106" t="s">
        <v>334</v>
      </c>
      <c r="L9" s="108" t="s">
        <v>233</v>
      </c>
      <c r="M9" s="108" t="s">
        <v>287</v>
      </c>
      <c r="N9" s="108" t="s">
        <v>371</v>
      </c>
      <c r="O9" s="108" t="s">
        <v>337</v>
      </c>
      <c r="P9" s="117" t="s">
        <v>236</v>
      </c>
      <c r="Q9" s="115" t="s">
        <v>238</v>
      </c>
      <c r="R9" s="115" t="s">
        <v>242</v>
      </c>
      <c r="S9" s="115" t="s">
        <v>313</v>
      </c>
      <c r="T9" s="110" t="s">
        <v>238</v>
      </c>
      <c r="U9" s="110" t="s">
        <v>242</v>
      </c>
      <c r="V9" s="110" t="s">
        <v>313</v>
      </c>
    </row>
    <row r="10" spans="1:22" ht="55.5" customHeight="1" x14ac:dyDescent="0.25">
      <c r="A10" s="107"/>
      <c r="B10" s="107"/>
      <c r="C10" s="107"/>
      <c r="D10" s="107"/>
      <c r="E10" s="107"/>
      <c r="F10" s="107"/>
      <c r="G10" s="107"/>
      <c r="H10" s="107"/>
      <c r="I10" s="107"/>
      <c r="J10" s="107"/>
      <c r="K10" s="107"/>
      <c r="L10" s="109"/>
      <c r="M10" s="109"/>
      <c r="N10" s="109"/>
      <c r="O10" s="109"/>
      <c r="P10" s="118"/>
      <c r="Q10" s="116"/>
      <c r="R10" s="116"/>
      <c r="S10" s="116"/>
      <c r="T10" s="111"/>
      <c r="U10" s="111"/>
      <c r="V10" s="111"/>
    </row>
    <row r="11" spans="1:22" ht="90" customHeight="1" x14ac:dyDescent="0.25">
      <c r="A11" s="84" t="s">
        <v>316</v>
      </c>
      <c r="B11" s="84" t="s">
        <v>239</v>
      </c>
      <c r="C11" s="84" t="s">
        <v>477</v>
      </c>
      <c r="D11" s="84" t="s">
        <v>473</v>
      </c>
      <c r="E11" s="84" t="s">
        <v>212</v>
      </c>
      <c r="F11" s="84" t="s">
        <v>213</v>
      </c>
      <c r="G11" s="84" t="s">
        <v>283</v>
      </c>
      <c r="H11" s="84" t="s">
        <v>304</v>
      </c>
      <c r="I11" s="84" t="s">
        <v>162</v>
      </c>
      <c r="J11" s="84" t="s">
        <v>75</v>
      </c>
      <c r="K11" s="84"/>
      <c r="L11" s="3" t="s">
        <v>234</v>
      </c>
      <c r="M11" s="3" t="s">
        <v>162</v>
      </c>
      <c r="N11" s="3" t="s">
        <v>143</v>
      </c>
      <c r="O11" s="3" t="s">
        <v>372</v>
      </c>
      <c r="P11" s="3" t="s">
        <v>235</v>
      </c>
      <c r="Q11" s="74" t="s">
        <v>241</v>
      </c>
      <c r="R11" s="74" t="s">
        <v>244</v>
      </c>
      <c r="S11" s="74" t="s">
        <v>243</v>
      </c>
      <c r="T11" s="75" t="s">
        <v>329</v>
      </c>
      <c r="U11" s="75" t="s">
        <v>244</v>
      </c>
      <c r="V11" s="75" t="s">
        <v>243</v>
      </c>
    </row>
    <row r="12" spans="1:22" x14ac:dyDescent="0.25">
      <c r="A12" s="46" t="s">
        <v>301</v>
      </c>
      <c r="B12" s="41" t="s">
        <v>263</v>
      </c>
      <c r="C12" s="46" t="s">
        <v>474</v>
      </c>
      <c r="D12" s="79" t="s">
        <v>475</v>
      </c>
      <c r="E12" s="79" t="s">
        <v>476</v>
      </c>
      <c r="F12" s="41" t="s">
        <v>288</v>
      </c>
      <c r="G12" s="41" t="s">
        <v>290</v>
      </c>
      <c r="H12" s="41" t="s">
        <v>291</v>
      </c>
      <c r="I12" s="79" t="s">
        <v>289</v>
      </c>
      <c r="J12" s="41" t="s">
        <v>247</v>
      </c>
      <c r="K12" s="79" t="s">
        <v>335</v>
      </c>
      <c r="L12" s="46" t="s">
        <v>246</v>
      </c>
      <c r="M12" s="46" t="s">
        <v>248</v>
      </c>
      <c r="N12" s="46" t="s">
        <v>147</v>
      </c>
      <c r="O12" s="79" t="s">
        <v>336</v>
      </c>
      <c r="P12" s="46" t="s">
        <v>249</v>
      </c>
      <c r="Q12" s="46" t="s">
        <v>250</v>
      </c>
      <c r="R12" s="46" t="s">
        <v>251</v>
      </c>
      <c r="S12" s="46" t="s">
        <v>252</v>
      </c>
      <c r="T12" s="46" t="s">
        <v>253</v>
      </c>
      <c r="U12" s="46" t="s">
        <v>254</v>
      </c>
      <c r="V12" s="46" t="s">
        <v>255</v>
      </c>
    </row>
    <row r="13" spans="1:22" ht="30" x14ac:dyDescent="0.25">
      <c r="A13" s="72">
        <v>1</v>
      </c>
      <c r="B13" s="44" t="s">
        <v>591</v>
      </c>
      <c r="C13" s="76" t="s">
        <v>11</v>
      </c>
      <c r="F13" s="145">
        <v>5.2083333333333336E-2</v>
      </c>
      <c r="I13" s="76" t="s">
        <v>432</v>
      </c>
      <c r="J13" s="44" t="s">
        <v>68</v>
      </c>
      <c r="K13" s="76">
        <v>5</v>
      </c>
      <c r="L13" s="44">
        <v>2</v>
      </c>
      <c r="M13" s="44" t="s">
        <v>108</v>
      </c>
      <c r="N13" s="44" t="s">
        <v>571</v>
      </c>
      <c r="O13" s="76">
        <v>2</v>
      </c>
      <c r="P13" s="44">
        <f>R13+U13</f>
        <v>285.39999999999998</v>
      </c>
      <c r="Q13" s="44" t="s">
        <v>514</v>
      </c>
      <c r="R13" s="44">
        <v>58.4</v>
      </c>
      <c r="S13" s="44" t="s">
        <v>687</v>
      </c>
      <c r="T13" s="44" t="s">
        <v>515</v>
      </c>
      <c r="U13">
        <v>227</v>
      </c>
      <c r="V13" s="76" t="s">
        <v>686</v>
      </c>
    </row>
    <row r="14" spans="1:22" ht="30" x14ac:dyDescent="0.25">
      <c r="A14" s="72">
        <v>2</v>
      </c>
      <c r="B14" s="76" t="s">
        <v>591</v>
      </c>
      <c r="C14" s="76" t="s">
        <v>11</v>
      </c>
      <c r="F14" s="145">
        <v>5.2083333333333336E-2</v>
      </c>
      <c r="I14" s="76" t="s">
        <v>432</v>
      </c>
      <c r="J14" s="76" t="s">
        <v>68</v>
      </c>
      <c r="K14" s="76">
        <v>5</v>
      </c>
      <c r="L14" s="76">
        <v>2</v>
      </c>
      <c r="M14" s="76" t="s">
        <v>108</v>
      </c>
      <c r="N14" s="44" t="s">
        <v>572</v>
      </c>
      <c r="O14" s="76">
        <v>2</v>
      </c>
      <c r="P14" s="76">
        <f t="shared" ref="P14:P43" si="0">R14+U14</f>
        <v>285.39999999999998</v>
      </c>
      <c r="Q14" s="76" t="s">
        <v>514</v>
      </c>
      <c r="R14" s="76">
        <v>58.4</v>
      </c>
      <c r="S14" s="76" t="s">
        <v>687</v>
      </c>
      <c r="T14" s="76" t="s">
        <v>515</v>
      </c>
      <c r="U14" s="62">
        <v>227</v>
      </c>
      <c r="V14" s="76" t="s">
        <v>686</v>
      </c>
    </row>
    <row r="15" spans="1:22" ht="30" x14ac:dyDescent="0.25">
      <c r="A15" s="72">
        <v>3</v>
      </c>
      <c r="B15" s="76" t="s">
        <v>591</v>
      </c>
      <c r="C15" s="76" t="s">
        <v>11</v>
      </c>
      <c r="F15" s="145">
        <v>5.2083333333333301E-2</v>
      </c>
      <c r="I15" s="76" t="s">
        <v>432</v>
      </c>
      <c r="J15" s="76" t="s">
        <v>68</v>
      </c>
      <c r="K15" s="76">
        <v>5</v>
      </c>
      <c r="L15" s="76">
        <v>2</v>
      </c>
      <c r="M15" s="76" t="s">
        <v>108</v>
      </c>
      <c r="N15" s="44" t="s">
        <v>573</v>
      </c>
      <c r="O15" s="76">
        <v>2</v>
      </c>
      <c r="P15" s="76">
        <f t="shared" si="0"/>
        <v>285.39999999999998</v>
      </c>
      <c r="Q15" s="76" t="s">
        <v>514</v>
      </c>
      <c r="R15" s="76">
        <v>58.4</v>
      </c>
      <c r="S15" s="76" t="s">
        <v>687</v>
      </c>
      <c r="T15" s="76" t="s">
        <v>515</v>
      </c>
      <c r="U15" s="62">
        <v>227</v>
      </c>
      <c r="V15" s="76" t="s">
        <v>686</v>
      </c>
    </row>
    <row r="16" spans="1:22" ht="30" x14ac:dyDescent="0.25">
      <c r="A16" s="72">
        <v>4</v>
      </c>
      <c r="B16" s="76" t="s">
        <v>591</v>
      </c>
      <c r="C16" s="76" t="s">
        <v>11</v>
      </c>
      <c r="F16" s="145">
        <v>5.2083333333333301E-2</v>
      </c>
      <c r="I16" s="76" t="s">
        <v>432</v>
      </c>
      <c r="J16" s="76" t="s">
        <v>68</v>
      </c>
      <c r="K16" s="76">
        <v>5</v>
      </c>
      <c r="L16" s="76">
        <v>2</v>
      </c>
      <c r="M16" s="76" t="s">
        <v>108</v>
      </c>
      <c r="N16" s="44" t="s">
        <v>574</v>
      </c>
      <c r="O16" s="76">
        <v>2</v>
      </c>
      <c r="P16" s="76">
        <f t="shared" si="0"/>
        <v>285.39999999999998</v>
      </c>
      <c r="Q16" s="76" t="s">
        <v>514</v>
      </c>
      <c r="R16" s="76">
        <v>58.4</v>
      </c>
      <c r="S16" s="76" t="s">
        <v>687</v>
      </c>
      <c r="T16" s="76" t="s">
        <v>515</v>
      </c>
      <c r="U16" s="62">
        <v>227</v>
      </c>
      <c r="V16" s="76" t="s">
        <v>686</v>
      </c>
    </row>
    <row r="17" spans="1:22" ht="30" x14ac:dyDescent="0.25">
      <c r="A17" s="72">
        <v>5</v>
      </c>
      <c r="B17" s="76" t="s">
        <v>591</v>
      </c>
      <c r="C17" s="76" t="s">
        <v>11</v>
      </c>
      <c r="F17" s="145">
        <v>5.2083333333333301E-2</v>
      </c>
      <c r="I17" s="76" t="s">
        <v>432</v>
      </c>
      <c r="J17" s="76" t="s">
        <v>68</v>
      </c>
      <c r="K17" s="76">
        <v>5</v>
      </c>
      <c r="L17" s="76">
        <v>2</v>
      </c>
      <c r="M17" s="76" t="s">
        <v>108</v>
      </c>
      <c r="N17" s="44" t="s">
        <v>575</v>
      </c>
      <c r="O17" s="76">
        <v>2</v>
      </c>
      <c r="P17" s="76">
        <f t="shared" si="0"/>
        <v>285.39999999999998</v>
      </c>
      <c r="Q17" s="76" t="s">
        <v>514</v>
      </c>
      <c r="R17" s="76">
        <v>58.4</v>
      </c>
      <c r="S17" s="76" t="s">
        <v>687</v>
      </c>
      <c r="T17" s="76" t="s">
        <v>515</v>
      </c>
      <c r="U17" s="62">
        <v>227</v>
      </c>
      <c r="V17" s="76" t="s">
        <v>686</v>
      </c>
    </row>
    <row r="18" spans="1:22" ht="30" x14ac:dyDescent="0.25">
      <c r="A18" s="72">
        <v>6</v>
      </c>
      <c r="B18" s="76" t="s">
        <v>591</v>
      </c>
      <c r="C18" s="76" t="s">
        <v>11</v>
      </c>
      <c r="F18" s="145">
        <v>5.2083333333333301E-2</v>
      </c>
      <c r="I18" s="76" t="s">
        <v>432</v>
      </c>
      <c r="J18" s="76" t="s">
        <v>68</v>
      </c>
      <c r="K18" s="76">
        <v>5</v>
      </c>
      <c r="L18" s="76">
        <v>2</v>
      </c>
      <c r="M18" s="76" t="s">
        <v>108</v>
      </c>
      <c r="N18" s="44" t="s">
        <v>576</v>
      </c>
      <c r="O18" s="76">
        <v>2</v>
      </c>
      <c r="P18" s="76">
        <f t="shared" si="0"/>
        <v>285.39999999999998</v>
      </c>
      <c r="Q18" s="76" t="s">
        <v>514</v>
      </c>
      <c r="R18" s="76">
        <v>58.4</v>
      </c>
      <c r="S18" s="76" t="s">
        <v>687</v>
      </c>
      <c r="T18" s="76" t="s">
        <v>515</v>
      </c>
      <c r="U18" s="62">
        <v>227</v>
      </c>
      <c r="V18" s="76" t="s">
        <v>686</v>
      </c>
    </row>
    <row r="19" spans="1:22" ht="30" x14ac:dyDescent="0.25">
      <c r="A19" s="72">
        <v>7</v>
      </c>
      <c r="B19" s="76" t="s">
        <v>591</v>
      </c>
      <c r="C19" s="76" t="s">
        <v>11</v>
      </c>
      <c r="F19" s="145">
        <v>5.2083333333333301E-2</v>
      </c>
      <c r="I19" s="76" t="s">
        <v>432</v>
      </c>
      <c r="J19" s="76" t="s">
        <v>68</v>
      </c>
      <c r="K19" s="76">
        <v>5</v>
      </c>
      <c r="L19" s="76">
        <v>2</v>
      </c>
      <c r="M19" s="76" t="s">
        <v>108</v>
      </c>
      <c r="N19" s="44" t="s">
        <v>577</v>
      </c>
      <c r="O19" s="76">
        <v>2</v>
      </c>
      <c r="P19" s="76">
        <f t="shared" si="0"/>
        <v>285.39999999999998</v>
      </c>
      <c r="Q19" s="76" t="s">
        <v>514</v>
      </c>
      <c r="R19" s="76">
        <v>58.4</v>
      </c>
      <c r="S19" s="76" t="s">
        <v>687</v>
      </c>
      <c r="T19" s="76" t="s">
        <v>515</v>
      </c>
      <c r="U19" s="62">
        <v>227</v>
      </c>
      <c r="V19" s="76" t="s">
        <v>686</v>
      </c>
    </row>
    <row r="20" spans="1:22" ht="30" x14ac:dyDescent="0.25">
      <c r="A20" s="72">
        <v>8</v>
      </c>
      <c r="B20" s="76" t="s">
        <v>591</v>
      </c>
      <c r="C20" s="76" t="s">
        <v>11</v>
      </c>
      <c r="F20" s="145">
        <v>5.2083333333333301E-2</v>
      </c>
      <c r="I20" s="76" t="s">
        <v>432</v>
      </c>
      <c r="J20" s="76" t="s">
        <v>68</v>
      </c>
      <c r="K20" s="76">
        <v>5</v>
      </c>
      <c r="L20" s="76">
        <v>2</v>
      </c>
      <c r="M20" s="76" t="s">
        <v>108</v>
      </c>
      <c r="N20" s="44" t="s">
        <v>578</v>
      </c>
      <c r="O20" s="76">
        <v>2</v>
      </c>
      <c r="P20" s="76">
        <f t="shared" si="0"/>
        <v>285.39999999999998</v>
      </c>
      <c r="Q20" s="76" t="s">
        <v>514</v>
      </c>
      <c r="R20" s="76">
        <v>58.4</v>
      </c>
      <c r="S20" s="76" t="s">
        <v>687</v>
      </c>
      <c r="T20" s="76" t="s">
        <v>515</v>
      </c>
      <c r="U20" s="62">
        <v>227</v>
      </c>
      <c r="V20" s="76" t="s">
        <v>686</v>
      </c>
    </row>
    <row r="21" spans="1:22" ht="30" x14ac:dyDescent="0.25">
      <c r="A21" s="72">
        <v>9</v>
      </c>
      <c r="B21" s="76" t="s">
        <v>591</v>
      </c>
      <c r="C21" s="76" t="s">
        <v>11</v>
      </c>
      <c r="F21" s="145">
        <v>5.2083333333333301E-2</v>
      </c>
      <c r="I21" s="76" t="s">
        <v>432</v>
      </c>
      <c r="J21" s="76" t="s">
        <v>68</v>
      </c>
      <c r="K21" s="76">
        <v>5</v>
      </c>
      <c r="L21" s="76">
        <v>2</v>
      </c>
      <c r="M21" s="76" t="s">
        <v>108</v>
      </c>
      <c r="N21" s="44" t="s">
        <v>579</v>
      </c>
      <c r="O21" s="76">
        <v>2</v>
      </c>
      <c r="P21" s="76">
        <f t="shared" si="0"/>
        <v>285.39999999999998</v>
      </c>
      <c r="Q21" s="76" t="s">
        <v>514</v>
      </c>
      <c r="R21" s="76">
        <v>58.4</v>
      </c>
      <c r="S21" s="76" t="s">
        <v>687</v>
      </c>
      <c r="T21" s="76" t="s">
        <v>515</v>
      </c>
      <c r="U21" s="62">
        <v>227</v>
      </c>
      <c r="V21" s="76" t="s">
        <v>686</v>
      </c>
    </row>
    <row r="22" spans="1:22" ht="30" x14ac:dyDescent="0.25">
      <c r="A22" s="72">
        <v>10</v>
      </c>
      <c r="B22" s="76" t="s">
        <v>591</v>
      </c>
      <c r="C22" s="76" t="s">
        <v>11</v>
      </c>
      <c r="F22" s="145">
        <v>5.2083333333333301E-2</v>
      </c>
      <c r="I22" s="76" t="s">
        <v>432</v>
      </c>
      <c r="J22" s="76" t="s">
        <v>68</v>
      </c>
      <c r="K22" s="76">
        <v>5</v>
      </c>
      <c r="L22" s="76">
        <v>2</v>
      </c>
      <c r="M22" s="76" t="s">
        <v>108</v>
      </c>
      <c r="N22" s="44" t="s">
        <v>580</v>
      </c>
      <c r="O22" s="76">
        <v>2</v>
      </c>
      <c r="P22" s="76">
        <f t="shared" si="0"/>
        <v>285.39999999999998</v>
      </c>
      <c r="Q22" s="76" t="s">
        <v>514</v>
      </c>
      <c r="R22" s="76">
        <v>58.4</v>
      </c>
      <c r="S22" s="76" t="s">
        <v>687</v>
      </c>
      <c r="T22" s="76" t="s">
        <v>515</v>
      </c>
      <c r="U22" s="62">
        <v>227</v>
      </c>
      <c r="V22" s="76" t="s">
        <v>686</v>
      </c>
    </row>
    <row r="23" spans="1:22" ht="30" x14ac:dyDescent="0.25">
      <c r="A23" s="72">
        <v>11</v>
      </c>
      <c r="B23" s="76" t="s">
        <v>591</v>
      </c>
      <c r="C23" s="76" t="s">
        <v>11</v>
      </c>
      <c r="F23" s="145">
        <v>5.2083333333333301E-2</v>
      </c>
      <c r="I23" s="76" t="s">
        <v>432</v>
      </c>
      <c r="J23" s="76" t="s">
        <v>68</v>
      </c>
      <c r="K23" s="76">
        <v>5</v>
      </c>
      <c r="L23" s="76">
        <v>2</v>
      </c>
      <c r="M23" s="76" t="s">
        <v>108</v>
      </c>
      <c r="N23" s="44" t="s">
        <v>581</v>
      </c>
      <c r="O23" s="76">
        <v>2</v>
      </c>
      <c r="P23" s="76">
        <f t="shared" si="0"/>
        <v>285.39999999999998</v>
      </c>
      <c r="Q23" s="76" t="s">
        <v>514</v>
      </c>
      <c r="R23" s="76">
        <v>58.4</v>
      </c>
      <c r="S23" s="76" t="s">
        <v>687</v>
      </c>
      <c r="T23" s="76" t="s">
        <v>515</v>
      </c>
      <c r="U23" s="62">
        <v>227</v>
      </c>
      <c r="V23" s="76" t="s">
        <v>686</v>
      </c>
    </row>
    <row r="24" spans="1:22" ht="30" x14ac:dyDescent="0.25">
      <c r="A24" s="72">
        <v>12</v>
      </c>
      <c r="B24" s="76" t="s">
        <v>591</v>
      </c>
      <c r="C24" s="76" t="s">
        <v>11</v>
      </c>
      <c r="F24" s="145">
        <v>5.2083333333333301E-2</v>
      </c>
      <c r="I24" s="76" t="s">
        <v>432</v>
      </c>
      <c r="J24" s="76" t="s">
        <v>68</v>
      </c>
      <c r="K24" s="76">
        <v>5</v>
      </c>
      <c r="L24" s="76">
        <v>2</v>
      </c>
      <c r="M24" s="76" t="s">
        <v>108</v>
      </c>
      <c r="N24" s="44" t="s">
        <v>582</v>
      </c>
      <c r="O24" s="76">
        <v>2</v>
      </c>
      <c r="P24" s="76">
        <f t="shared" si="0"/>
        <v>285.39999999999998</v>
      </c>
      <c r="Q24" s="76" t="s">
        <v>514</v>
      </c>
      <c r="R24" s="76">
        <v>58.4</v>
      </c>
      <c r="S24" s="76" t="s">
        <v>687</v>
      </c>
      <c r="T24" s="76" t="s">
        <v>515</v>
      </c>
      <c r="U24" s="62">
        <v>227</v>
      </c>
      <c r="V24" s="76" t="s">
        <v>686</v>
      </c>
    </row>
    <row r="25" spans="1:22" ht="30" x14ac:dyDescent="0.25">
      <c r="A25" s="72">
        <v>13</v>
      </c>
      <c r="B25" s="76" t="s">
        <v>591</v>
      </c>
      <c r="C25" s="76" t="s">
        <v>11</v>
      </c>
      <c r="F25" s="145">
        <v>5.2083333333333301E-2</v>
      </c>
      <c r="I25" s="76" t="s">
        <v>432</v>
      </c>
      <c r="J25" s="76" t="s">
        <v>68</v>
      </c>
      <c r="K25" s="76">
        <v>5</v>
      </c>
      <c r="L25" s="76">
        <v>2</v>
      </c>
      <c r="M25" s="76" t="s">
        <v>108</v>
      </c>
      <c r="N25" s="44" t="s">
        <v>583</v>
      </c>
      <c r="O25" s="76">
        <v>2</v>
      </c>
      <c r="P25" s="76">
        <f t="shared" si="0"/>
        <v>285.39999999999998</v>
      </c>
      <c r="Q25" s="76" t="s">
        <v>514</v>
      </c>
      <c r="R25" s="76">
        <v>58.4</v>
      </c>
      <c r="S25" s="76" t="s">
        <v>687</v>
      </c>
      <c r="T25" s="76" t="s">
        <v>515</v>
      </c>
      <c r="U25" s="62">
        <v>227</v>
      </c>
      <c r="V25" s="76" t="s">
        <v>686</v>
      </c>
    </row>
    <row r="26" spans="1:22" ht="30" x14ac:dyDescent="0.25">
      <c r="A26" s="72">
        <v>14</v>
      </c>
      <c r="B26" s="76" t="s">
        <v>591</v>
      </c>
      <c r="C26" s="76" t="s">
        <v>11</v>
      </c>
      <c r="F26" s="145">
        <v>5.2083333333333301E-2</v>
      </c>
      <c r="I26" s="76" t="s">
        <v>432</v>
      </c>
      <c r="J26" s="76" t="s">
        <v>68</v>
      </c>
      <c r="K26" s="76">
        <v>5</v>
      </c>
      <c r="L26" s="76">
        <v>2</v>
      </c>
      <c r="M26" s="76" t="s">
        <v>108</v>
      </c>
      <c r="N26" s="44" t="s">
        <v>584</v>
      </c>
      <c r="O26" s="76">
        <v>2</v>
      </c>
      <c r="P26" s="76">
        <f t="shared" si="0"/>
        <v>285.39999999999998</v>
      </c>
      <c r="Q26" s="76" t="s">
        <v>514</v>
      </c>
      <c r="R26" s="76">
        <v>58.4</v>
      </c>
      <c r="S26" s="76" t="s">
        <v>687</v>
      </c>
      <c r="T26" s="76" t="s">
        <v>515</v>
      </c>
      <c r="U26" s="62">
        <v>227</v>
      </c>
      <c r="V26" s="76" t="s">
        <v>686</v>
      </c>
    </row>
    <row r="27" spans="1:22" ht="30" x14ac:dyDescent="0.25">
      <c r="A27" s="72">
        <v>15</v>
      </c>
      <c r="B27" s="76" t="s">
        <v>591</v>
      </c>
      <c r="C27" s="76" t="s">
        <v>11</v>
      </c>
      <c r="F27" s="145">
        <v>5.2083333333333301E-2</v>
      </c>
      <c r="I27" s="76" t="s">
        <v>432</v>
      </c>
      <c r="J27" s="76" t="s">
        <v>68</v>
      </c>
      <c r="K27" s="76">
        <v>5</v>
      </c>
      <c r="L27" s="76">
        <v>2</v>
      </c>
      <c r="M27" s="76" t="s">
        <v>108</v>
      </c>
      <c r="N27" s="44" t="s">
        <v>585</v>
      </c>
      <c r="O27" s="76">
        <v>2</v>
      </c>
      <c r="P27" s="76">
        <f t="shared" si="0"/>
        <v>285.39999999999998</v>
      </c>
      <c r="Q27" s="76" t="s">
        <v>514</v>
      </c>
      <c r="R27" s="76">
        <v>58.4</v>
      </c>
      <c r="S27" s="76" t="s">
        <v>687</v>
      </c>
      <c r="T27" s="76" t="s">
        <v>515</v>
      </c>
      <c r="U27" s="62">
        <v>227</v>
      </c>
      <c r="V27" s="76" t="s">
        <v>686</v>
      </c>
    </row>
    <row r="28" spans="1:22" ht="30" x14ac:dyDescent="0.25">
      <c r="A28" s="72">
        <v>16</v>
      </c>
      <c r="B28" s="76" t="s">
        <v>591</v>
      </c>
      <c r="C28" s="76" t="s">
        <v>11</v>
      </c>
      <c r="F28" s="145">
        <v>5.2083333333333301E-2</v>
      </c>
      <c r="I28" s="76" t="s">
        <v>432</v>
      </c>
      <c r="J28" s="76" t="s">
        <v>68</v>
      </c>
      <c r="K28" s="76">
        <v>5</v>
      </c>
      <c r="L28" s="76">
        <v>2</v>
      </c>
      <c r="M28" s="76" t="s">
        <v>108</v>
      </c>
      <c r="N28" s="44" t="s">
        <v>586</v>
      </c>
      <c r="O28" s="76">
        <v>2</v>
      </c>
      <c r="P28" s="76">
        <f t="shared" si="0"/>
        <v>285.39999999999998</v>
      </c>
      <c r="Q28" s="76" t="s">
        <v>514</v>
      </c>
      <c r="R28" s="76">
        <v>58.4</v>
      </c>
      <c r="S28" s="76" t="s">
        <v>687</v>
      </c>
      <c r="T28" s="76" t="s">
        <v>515</v>
      </c>
      <c r="U28" s="62">
        <v>227</v>
      </c>
      <c r="V28" s="76" t="s">
        <v>686</v>
      </c>
    </row>
    <row r="29" spans="1:22" ht="30" x14ac:dyDescent="0.25">
      <c r="A29" s="72">
        <v>17</v>
      </c>
      <c r="B29" s="76" t="s">
        <v>591</v>
      </c>
      <c r="C29" s="76" t="s">
        <v>11</v>
      </c>
      <c r="F29" s="145">
        <v>5.2083333333333301E-2</v>
      </c>
      <c r="I29" s="76" t="s">
        <v>432</v>
      </c>
      <c r="J29" s="76" t="s">
        <v>68</v>
      </c>
      <c r="K29" s="76">
        <v>5</v>
      </c>
      <c r="L29" s="76">
        <v>2</v>
      </c>
      <c r="M29" s="76" t="s">
        <v>108</v>
      </c>
      <c r="N29" s="44" t="s">
        <v>587</v>
      </c>
      <c r="O29" s="76">
        <v>2</v>
      </c>
      <c r="P29" s="76">
        <f t="shared" si="0"/>
        <v>285.39999999999998</v>
      </c>
      <c r="Q29" s="76" t="s">
        <v>514</v>
      </c>
      <c r="R29" s="76">
        <v>58.4</v>
      </c>
      <c r="S29" s="76" t="s">
        <v>687</v>
      </c>
      <c r="T29" s="76" t="s">
        <v>515</v>
      </c>
      <c r="U29" s="62">
        <v>227</v>
      </c>
      <c r="V29" s="76" t="s">
        <v>686</v>
      </c>
    </row>
    <row r="30" spans="1:22" ht="30" x14ac:dyDescent="0.25">
      <c r="A30" s="72">
        <v>18</v>
      </c>
      <c r="B30" s="76" t="s">
        <v>591</v>
      </c>
      <c r="C30" s="76" t="s">
        <v>11</v>
      </c>
      <c r="F30" s="145">
        <v>5.2083333333333301E-2</v>
      </c>
      <c r="I30" s="76" t="s">
        <v>432</v>
      </c>
      <c r="J30" s="76" t="s">
        <v>68</v>
      </c>
      <c r="K30" s="76">
        <v>5</v>
      </c>
      <c r="L30" s="76">
        <v>2</v>
      </c>
      <c r="M30" s="76" t="s">
        <v>108</v>
      </c>
      <c r="N30" s="44" t="s">
        <v>588</v>
      </c>
      <c r="O30" s="76">
        <v>2</v>
      </c>
      <c r="P30" s="76">
        <f t="shared" si="0"/>
        <v>285.39999999999998</v>
      </c>
      <c r="Q30" s="76" t="s">
        <v>514</v>
      </c>
      <c r="R30" s="76">
        <v>58.4</v>
      </c>
      <c r="S30" s="76" t="s">
        <v>687</v>
      </c>
      <c r="T30" s="76" t="s">
        <v>515</v>
      </c>
      <c r="U30" s="62">
        <v>227</v>
      </c>
      <c r="V30" s="76" t="s">
        <v>686</v>
      </c>
    </row>
    <row r="31" spans="1:22" ht="30" x14ac:dyDescent="0.25">
      <c r="A31" s="72">
        <v>19</v>
      </c>
      <c r="B31" s="76" t="s">
        <v>591</v>
      </c>
      <c r="C31" s="76" t="s">
        <v>11</v>
      </c>
      <c r="F31" s="145">
        <v>5.2083333333333301E-2</v>
      </c>
      <c r="I31" s="76" t="s">
        <v>432</v>
      </c>
      <c r="J31" s="76" t="s">
        <v>68</v>
      </c>
      <c r="K31" s="76">
        <v>5</v>
      </c>
      <c r="L31" s="76">
        <v>2</v>
      </c>
      <c r="M31" s="76" t="s">
        <v>108</v>
      </c>
      <c r="N31" s="44" t="s">
        <v>589</v>
      </c>
      <c r="O31" s="76">
        <v>2</v>
      </c>
      <c r="P31" s="76">
        <f t="shared" si="0"/>
        <v>285.39999999999998</v>
      </c>
      <c r="Q31" s="76" t="s">
        <v>514</v>
      </c>
      <c r="R31" s="76">
        <v>58.4</v>
      </c>
      <c r="S31" s="76" t="s">
        <v>687</v>
      </c>
      <c r="T31" s="76" t="s">
        <v>515</v>
      </c>
      <c r="U31" s="62">
        <v>227</v>
      </c>
      <c r="V31" s="76" t="s">
        <v>686</v>
      </c>
    </row>
    <row r="32" spans="1:22" ht="30" x14ac:dyDescent="0.25">
      <c r="A32" s="72">
        <v>20</v>
      </c>
      <c r="B32" s="76" t="s">
        <v>591</v>
      </c>
      <c r="C32" s="76" t="s">
        <v>11</v>
      </c>
      <c r="F32" s="145">
        <v>5.2083333333333301E-2</v>
      </c>
      <c r="I32" s="76" t="s">
        <v>432</v>
      </c>
      <c r="J32" s="76" t="s">
        <v>68</v>
      </c>
      <c r="K32" s="76">
        <v>5</v>
      </c>
      <c r="L32" s="76">
        <v>2</v>
      </c>
      <c r="M32" s="76" t="s">
        <v>108</v>
      </c>
      <c r="N32" s="44" t="s">
        <v>590</v>
      </c>
      <c r="O32" s="76">
        <v>2</v>
      </c>
      <c r="P32" s="76">
        <f t="shared" si="0"/>
        <v>285.39999999999998</v>
      </c>
      <c r="Q32" s="76" t="s">
        <v>514</v>
      </c>
      <c r="R32" s="76">
        <v>58.4</v>
      </c>
      <c r="S32" s="76" t="s">
        <v>687</v>
      </c>
      <c r="T32" s="76" t="s">
        <v>515</v>
      </c>
      <c r="U32" s="62">
        <v>227</v>
      </c>
      <c r="V32" s="76" t="s">
        <v>686</v>
      </c>
    </row>
    <row r="33" spans="1:22" ht="30" x14ac:dyDescent="0.25">
      <c r="A33" s="72">
        <v>21</v>
      </c>
      <c r="B33" s="44" t="s">
        <v>592</v>
      </c>
      <c r="C33" s="76" t="s">
        <v>11</v>
      </c>
      <c r="F33" s="145">
        <v>5.2083333333333301E-2</v>
      </c>
      <c r="I33" s="76" t="s">
        <v>432</v>
      </c>
      <c r="J33" s="76" t="s">
        <v>68</v>
      </c>
      <c r="K33" s="76">
        <v>5</v>
      </c>
      <c r="L33" s="76">
        <v>2</v>
      </c>
      <c r="M33" s="76" t="s">
        <v>108</v>
      </c>
      <c r="N33" s="44" t="s">
        <v>653</v>
      </c>
      <c r="O33" s="76">
        <v>2</v>
      </c>
      <c r="P33" s="76">
        <f t="shared" si="0"/>
        <v>285.39999999999998</v>
      </c>
      <c r="Q33" s="76" t="s">
        <v>514</v>
      </c>
      <c r="R33" s="76">
        <v>58.4</v>
      </c>
      <c r="S33" s="76" t="s">
        <v>687</v>
      </c>
      <c r="T33" s="76" t="s">
        <v>515</v>
      </c>
      <c r="U33" s="62">
        <v>227</v>
      </c>
      <c r="V33" s="76" t="s">
        <v>686</v>
      </c>
    </row>
    <row r="34" spans="1:22" ht="30" x14ac:dyDescent="0.25">
      <c r="A34" s="72">
        <v>22</v>
      </c>
      <c r="B34" s="76" t="s">
        <v>591</v>
      </c>
      <c r="C34" s="76" t="s">
        <v>11</v>
      </c>
      <c r="F34" s="145">
        <v>5.2083333333333301E-2</v>
      </c>
      <c r="G34" s="76"/>
      <c r="H34" s="76"/>
      <c r="I34" s="76" t="s">
        <v>432</v>
      </c>
      <c r="J34" s="76" t="s">
        <v>68</v>
      </c>
      <c r="K34" s="76">
        <v>5</v>
      </c>
      <c r="L34" s="76">
        <v>2</v>
      </c>
      <c r="M34" s="76" t="s">
        <v>108</v>
      </c>
      <c r="N34" s="44" t="s">
        <v>654</v>
      </c>
      <c r="O34" s="76">
        <v>2</v>
      </c>
      <c r="P34" s="76">
        <f t="shared" si="0"/>
        <v>285.39999999999998</v>
      </c>
      <c r="Q34" s="76" t="s">
        <v>514</v>
      </c>
      <c r="R34" s="76">
        <v>58.4</v>
      </c>
      <c r="S34" s="76" t="s">
        <v>687</v>
      </c>
      <c r="T34" s="76" t="s">
        <v>515</v>
      </c>
      <c r="U34" s="62">
        <v>227</v>
      </c>
      <c r="V34" s="76" t="s">
        <v>686</v>
      </c>
    </row>
    <row r="35" spans="1:22" ht="30" x14ac:dyDescent="0.25">
      <c r="A35" s="72">
        <v>23</v>
      </c>
      <c r="B35" s="76" t="s">
        <v>592</v>
      </c>
      <c r="C35" s="76" t="s">
        <v>11</v>
      </c>
      <c r="F35" s="145">
        <v>5.2083333333333301E-2</v>
      </c>
      <c r="G35" s="76"/>
      <c r="H35" s="76"/>
      <c r="I35" s="76" t="s">
        <v>432</v>
      </c>
      <c r="J35" s="76" t="s">
        <v>68</v>
      </c>
      <c r="K35" s="76">
        <v>5</v>
      </c>
      <c r="L35" s="76">
        <v>2</v>
      </c>
      <c r="M35" s="76" t="s">
        <v>108</v>
      </c>
      <c r="N35" s="44" t="s">
        <v>655</v>
      </c>
      <c r="O35" s="76">
        <v>2</v>
      </c>
      <c r="P35" s="76">
        <f t="shared" si="0"/>
        <v>285.39999999999998</v>
      </c>
      <c r="Q35" s="76" t="s">
        <v>514</v>
      </c>
      <c r="R35" s="76">
        <v>58.4</v>
      </c>
      <c r="S35" s="76" t="s">
        <v>687</v>
      </c>
      <c r="T35" s="76" t="s">
        <v>515</v>
      </c>
      <c r="U35" s="62">
        <v>227</v>
      </c>
      <c r="V35" s="76" t="s">
        <v>686</v>
      </c>
    </row>
    <row r="36" spans="1:22" ht="30" x14ac:dyDescent="0.25">
      <c r="A36" s="72">
        <v>24</v>
      </c>
      <c r="B36" s="76" t="s">
        <v>591</v>
      </c>
      <c r="C36" s="76" t="s">
        <v>11</v>
      </c>
      <c r="F36" s="145">
        <v>5.2083333333333301E-2</v>
      </c>
      <c r="G36" s="76"/>
      <c r="H36" s="76"/>
      <c r="I36" s="76" t="s">
        <v>432</v>
      </c>
      <c r="J36" s="76" t="s">
        <v>68</v>
      </c>
      <c r="K36" s="76">
        <v>5</v>
      </c>
      <c r="L36" s="76">
        <v>2</v>
      </c>
      <c r="M36" s="76" t="s">
        <v>108</v>
      </c>
      <c r="N36" s="44" t="s">
        <v>656</v>
      </c>
      <c r="O36" s="76">
        <v>2</v>
      </c>
      <c r="P36" s="76">
        <f t="shared" si="0"/>
        <v>285.39999999999998</v>
      </c>
      <c r="Q36" s="76" t="s">
        <v>514</v>
      </c>
      <c r="R36" s="76">
        <v>58.4</v>
      </c>
      <c r="S36" s="76" t="s">
        <v>687</v>
      </c>
      <c r="T36" s="76" t="s">
        <v>515</v>
      </c>
      <c r="U36" s="62">
        <v>227</v>
      </c>
      <c r="V36" s="76" t="s">
        <v>686</v>
      </c>
    </row>
    <row r="37" spans="1:22" ht="30" x14ac:dyDescent="0.25">
      <c r="A37" s="72">
        <v>25</v>
      </c>
      <c r="B37" s="76" t="s">
        <v>592</v>
      </c>
      <c r="C37" s="76" t="s">
        <v>11</v>
      </c>
      <c r="F37" s="145">
        <v>5.2083333333333301E-2</v>
      </c>
      <c r="G37" s="76"/>
      <c r="H37" s="76"/>
      <c r="I37" s="76" t="s">
        <v>432</v>
      </c>
      <c r="J37" s="76" t="s">
        <v>68</v>
      </c>
      <c r="K37" s="76">
        <v>5</v>
      </c>
      <c r="L37" s="76">
        <v>2</v>
      </c>
      <c r="M37" s="76" t="s">
        <v>108</v>
      </c>
      <c r="N37" s="44" t="s">
        <v>657</v>
      </c>
      <c r="O37" s="76">
        <v>2</v>
      </c>
      <c r="P37" s="76">
        <f t="shared" si="0"/>
        <v>285.39999999999998</v>
      </c>
      <c r="Q37" s="76" t="s">
        <v>514</v>
      </c>
      <c r="R37" s="76">
        <v>58.4</v>
      </c>
      <c r="S37" s="76" t="s">
        <v>687</v>
      </c>
      <c r="T37" s="76" t="s">
        <v>515</v>
      </c>
      <c r="U37" s="62">
        <v>227</v>
      </c>
      <c r="V37" s="76" t="s">
        <v>686</v>
      </c>
    </row>
    <row r="38" spans="1:22" ht="30" x14ac:dyDescent="0.25">
      <c r="A38" s="72">
        <v>26</v>
      </c>
      <c r="B38" s="44" t="s">
        <v>674</v>
      </c>
      <c r="C38" s="76" t="s">
        <v>11</v>
      </c>
      <c r="F38" s="145">
        <v>5.2083333333333301E-2</v>
      </c>
      <c r="I38" s="76" t="s">
        <v>432</v>
      </c>
      <c r="J38" s="76" t="s">
        <v>68</v>
      </c>
      <c r="K38" s="76">
        <v>5</v>
      </c>
      <c r="L38" s="76">
        <v>2</v>
      </c>
      <c r="M38" s="76" t="s">
        <v>108</v>
      </c>
      <c r="N38" s="62" t="s">
        <v>671</v>
      </c>
      <c r="O38" s="76">
        <v>2</v>
      </c>
      <c r="P38" s="76">
        <f t="shared" si="0"/>
        <v>298.39999999999998</v>
      </c>
      <c r="Q38" s="76" t="s">
        <v>514</v>
      </c>
      <c r="R38" s="76">
        <v>76.400000000000006</v>
      </c>
      <c r="S38" s="76" t="s">
        <v>688</v>
      </c>
      <c r="T38" s="76" t="s">
        <v>515</v>
      </c>
      <c r="U38" s="62">
        <v>222</v>
      </c>
      <c r="V38" s="76" t="s">
        <v>688</v>
      </c>
    </row>
    <row r="39" spans="1:22" ht="30" x14ac:dyDescent="0.25">
      <c r="A39" s="72">
        <v>27</v>
      </c>
      <c r="B39" s="76" t="s">
        <v>674</v>
      </c>
      <c r="C39" s="76" t="s">
        <v>11</v>
      </c>
      <c r="F39" s="145">
        <v>5.2083333333333301E-2</v>
      </c>
      <c r="I39" s="76" t="s">
        <v>432</v>
      </c>
      <c r="J39" s="76" t="s">
        <v>68</v>
      </c>
      <c r="K39" s="76">
        <v>5</v>
      </c>
      <c r="L39" s="76">
        <v>2</v>
      </c>
      <c r="M39" s="76" t="s">
        <v>108</v>
      </c>
      <c r="N39" s="62" t="s">
        <v>672</v>
      </c>
      <c r="O39" s="76">
        <v>2</v>
      </c>
      <c r="P39" s="76">
        <f t="shared" si="0"/>
        <v>298.39999999999998</v>
      </c>
      <c r="Q39" s="76" t="s">
        <v>514</v>
      </c>
      <c r="R39" s="76">
        <v>76.400000000000006</v>
      </c>
      <c r="S39" s="76" t="s">
        <v>688</v>
      </c>
      <c r="T39" s="76" t="s">
        <v>515</v>
      </c>
      <c r="U39" s="62">
        <v>222</v>
      </c>
      <c r="V39" s="76" t="s">
        <v>688</v>
      </c>
    </row>
    <row r="40" spans="1:22" ht="30" x14ac:dyDescent="0.25">
      <c r="A40" s="72">
        <v>28</v>
      </c>
      <c r="B40" s="76" t="s">
        <v>674</v>
      </c>
      <c r="C40" s="76" t="s">
        <v>11</v>
      </c>
      <c r="F40" s="145">
        <v>5.2083333333333301E-2</v>
      </c>
      <c r="I40" s="76" t="s">
        <v>432</v>
      </c>
      <c r="J40" s="76" t="s">
        <v>68</v>
      </c>
      <c r="K40" s="76">
        <v>5</v>
      </c>
      <c r="L40" s="76">
        <v>2</v>
      </c>
      <c r="M40" s="76" t="s">
        <v>108</v>
      </c>
      <c r="N40" s="62" t="s">
        <v>673</v>
      </c>
      <c r="O40" s="76">
        <v>2</v>
      </c>
      <c r="P40" s="76">
        <f t="shared" si="0"/>
        <v>298.39999999999998</v>
      </c>
      <c r="Q40" s="76" t="s">
        <v>514</v>
      </c>
      <c r="R40" s="76">
        <v>76.400000000000006</v>
      </c>
      <c r="S40" s="76" t="s">
        <v>688</v>
      </c>
      <c r="T40" s="76" t="s">
        <v>515</v>
      </c>
      <c r="U40" s="62">
        <v>222</v>
      </c>
      <c r="V40" s="76" t="s">
        <v>688</v>
      </c>
    </row>
    <row r="41" spans="1:22" ht="30" x14ac:dyDescent="0.25">
      <c r="A41" s="72">
        <v>29</v>
      </c>
      <c r="B41" s="76" t="s">
        <v>675</v>
      </c>
      <c r="C41" s="76" t="s">
        <v>11</v>
      </c>
      <c r="F41" s="145">
        <v>5.2083333333333301E-2</v>
      </c>
      <c r="I41" s="76" t="s">
        <v>432</v>
      </c>
      <c r="J41" s="76" t="s">
        <v>68</v>
      </c>
      <c r="K41" s="76">
        <v>5</v>
      </c>
      <c r="L41" s="76">
        <v>2</v>
      </c>
      <c r="M41" s="76" t="s">
        <v>108</v>
      </c>
      <c r="N41" s="62" t="s">
        <v>588</v>
      </c>
      <c r="O41" s="76">
        <v>2</v>
      </c>
      <c r="P41" s="76">
        <f t="shared" si="0"/>
        <v>298.39999999999998</v>
      </c>
      <c r="Q41" s="76" t="s">
        <v>514</v>
      </c>
      <c r="R41" s="76">
        <v>76.400000000000006</v>
      </c>
      <c r="S41" s="76" t="s">
        <v>688</v>
      </c>
      <c r="T41" s="76" t="s">
        <v>515</v>
      </c>
      <c r="U41" s="62">
        <v>222</v>
      </c>
      <c r="V41" s="76" t="s">
        <v>688</v>
      </c>
    </row>
    <row r="42" spans="1:22" ht="30" x14ac:dyDescent="0.25">
      <c r="A42" s="72">
        <v>30</v>
      </c>
      <c r="B42" s="76" t="s">
        <v>675</v>
      </c>
      <c r="C42" s="76" t="s">
        <v>11</v>
      </c>
      <c r="F42" s="145">
        <v>5.2083333333333301E-2</v>
      </c>
      <c r="G42" s="76"/>
      <c r="H42" s="76"/>
      <c r="I42" s="76" t="s">
        <v>432</v>
      </c>
      <c r="J42" s="76" t="s">
        <v>68</v>
      </c>
      <c r="K42" s="76">
        <v>5</v>
      </c>
      <c r="L42" s="76">
        <v>2</v>
      </c>
      <c r="M42" s="76" t="s">
        <v>108</v>
      </c>
      <c r="N42" s="44" t="s">
        <v>577</v>
      </c>
      <c r="O42" s="76">
        <v>2</v>
      </c>
      <c r="P42" s="76">
        <f t="shared" si="0"/>
        <v>298.39999999999998</v>
      </c>
      <c r="Q42" s="76" t="s">
        <v>514</v>
      </c>
      <c r="R42" s="76">
        <v>76.400000000000006</v>
      </c>
      <c r="S42" s="76" t="s">
        <v>688</v>
      </c>
      <c r="T42" s="76" t="s">
        <v>515</v>
      </c>
      <c r="U42" s="62">
        <v>222</v>
      </c>
      <c r="V42" s="76" t="s">
        <v>688</v>
      </c>
    </row>
    <row r="43" spans="1:22" ht="30" x14ac:dyDescent="0.25">
      <c r="A43" s="72">
        <v>31</v>
      </c>
      <c r="B43" s="76" t="s">
        <v>675</v>
      </c>
      <c r="C43" s="76" t="s">
        <v>11</v>
      </c>
      <c r="F43" s="145">
        <v>5.2083333333333301E-2</v>
      </c>
      <c r="G43" s="76"/>
      <c r="H43" s="76"/>
      <c r="I43" s="76" t="s">
        <v>432</v>
      </c>
      <c r="J43" s="76" t="s">
        <v>68</v>
      </c>
      <c r="K43" s="76">
        <v>5</v>
      </c>
      <c r="L43" s="76">
        <v>2</v>
      </c>
      <c r="M43" s="76" t="s">
        <v>108</v>
      </c>
      <c r="N43" s="44" t="s">
        <v>582</v>
      </c>
      <c r="O43" s="76">
        <v>2</v>
      </c>
      <c r="P43" s="76">
        <f t="shared" si="0"/>
        <v>298.39999999999998</v>
      </c>
      <c r="Q43" s="76" t="s">
        <v>514</v>
      </c>
      <c r="R43" s="76">
        <v>76.400000000000006</v>
      </c>
      <c r="S43" s="76" t="s">
        <v>688</v>
      </c>
      <c r="T43" s="76" t="s">
        <v>515</v>
      </c>
      <c r="U43" s="62">
        <v>222</v>
      </c>
      <c r="V43" s="76" t="s">
        <v>688</v>
      </c>
    </row>
  </sheetData>
  <mergeCells count="27">
    <mergeCell ref="N9:N10"/>
    <mergeCell ref="J9:J10"/>
    <mergeCell ref="Q8:S8"/>
    <mergeCell ref="A9:A10"/>
    <mergeCell ref="B9:B10"/>
    <mergeCell ref="L9:L10"/>
    <mergeCell ref="M9:M10"/>
    <mergeCell ref="A8:K8"/>
    <mergeCell ref="C9:C10"/>
    <mergeCell ref="D9:D10"/>
    <mergeCell ref="E9:E10"/>
    <mergeCell ref="A2:I7"/>
    <mergeCell ref="K9:K10"/>
    <mergeCell ref="O9:O10"/>
    <mergeCell ref="V9:V10"/>
    <mergeCell ref="T8:V8"/>
    <mergeCell ref="Q9:Q10"/>
    <mergeCell ref="S9:S10"/>
    <mergeCell ref="T9:T10"/>
    <mergeCell ref="U9:U10"/>
    <mergeCell ref="I9:I10"/>
    <mergeCell ref="F9:F10"/>
    <mergeCell ref="H9:H10"/>
    <mergeCell ref="G9:G10"/>
    <mergeCell ref="P9:P10"/>
    <mergeCell ref="L8:P8"/>
    <mergeCell ref="R9:R10"/>
  </mergeCells>
  <pageMargins left="0.7" right="0.7" top="0.75" bottom="0.75" header="0.3" footer="0.3"/>
  <pageSetup paperSize="17" scale="76" fitToWidth="2"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pageSetUpPr fitToPage="1"/>
  </sheetPr>
  <dimension ref="A1:BS213"/>
  <sheetViews>
    <sheetView workbookViewId="0">
      <pane ySplit="12" topLeftCell="A70" activePane="bottomLeft" state="frozen"/>
      <selection pane="bottomLeft" activeCell="C61" sqref="C61:C76"/>
    </sheetView>
  </sheetViews>
  <sheetFormatPr defaultColWidth="8.7109375" defaultRowHeight="15" x14ac:dyDescent="0.25"/>
  <cols>
    <col min="1" max="4" width="31.42578125" style="32" customWidth="1"/>
    <col min="5" max="5" width="26.28515625" style="32" customWidth="1"/>
    <col min="6" max="6" width="23.140625" style="32" bestFit="1" customWidth="1"/>
    <col min="7" max="7" width="23" style="32" bestFit="1" customWidth="1"/>
    <col min="8" max="8" width="25.140625" style="32" customWidth="1"/>
    <col min="9" max="9" width="21.28515625" style="32" customWidth="1"/>
    <col min="10" max="28" width="22.7109375" style="32" customWidth="1"/>
    <col min="29" max="46" width="15.42578125" style="32" customWidth="1"/>
    <col min="47" max="54" width="14.7109375" style="32" customWidth="1"/>
    <col min="55" max="58" width="15.42578125" style="32" customWidth="1"/>
    <col min="59" max="66" width="14.7109375" style="32" customWidth="1"/>
    <col min="67" max="70" width="15.42578125" style="32" customWidth="1"/>
    <col min="71" max="71" width="16.42578125" style="32" customWidth="1"/>
    <col min="72" max="16384" width="8.7109375" style="32"/>
  </cols>
  <sheetData>
    <row r="1" spans="1:71" s="1" customFormat="1" x14ac:dyDescent="0.25">
      <c r="A1" s="29" t="s">
        <v>7</v>
      </c>
      <c r="B1" s="77"/>
      <c r="C1" s="77"/>
      <c r="D1" s="77"/>
      <c r="E1" s="77"/>
      <c r="F1" s="29"/>
      <c r="G1" s="40"/>
      <c r="H1" s="5"/>
      <c r="I1" s="5"/>
      <c r="J1" s="5"/>
      <c r="K1" s="5"/>
      <c r="L1" s="5"/>
      <c r="M1" s="45"/>
      <c r="N1" s="5"/>
      <c r="O1" s="45"/>
      <c r="P1" s="45"/>
      <c r="Q1" s="5"/>
      <c r="R1" s="45"/>
      <c r="S1" s="45"/>
      <c r="T1" s="5"/>
      <c r="U1" s="45"/>
      <c r="V1" s="45"/>
      <c r="W1" s="45"/>
      <c r="X1" s="45"/>
      <c r="Y1" s="45"/>
      <c r="Z1" s="45"/>
      <c r="AA1" s="45"/>
      <c r="AB1" s="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5"/>
      <c r="BP1" s="5"/>
      <c r="BQ1" s="5"/>
      <c r="BR1" s="5"/>
      <c r="BS1" s="5"/>
    </row>
    <row r="2" spans="1:71" s="1" customFormat="1" ht="15" hidden="1" customHeight="1" x14ac:dyDescent="0.25">
      <c r="A2" s="96" t="s">
        <v>414</v>
      </c>
      <c r="B2" s="96"/>
      <c r="C2" s="96"/>
      <c r="D2" s="96"/>
      <c r="E2" s="96"/>
      <c r="F2" s="96"/>
      <c r="G2" s="96"/>
      <c r="H2" s="81"/>
      <c r="I2" s="81"/>
      <c r="J2" s="81"/>
      <c r="K2" s="81"/>
      <c r="L2" s="81"/>
      <c r="M2" s="81"/>
      <c r="N2" s="81"/>
      <c r="O2" s="81"/>
      <c r="P2" s="81"/>
      <c r="Q2" s="81"/>
      <c r="R2" s="73"/>
      <c r="S2" s="73"/>
      <c r="T2" s="5"/>
      <c r="U2" s="45"/>
      <c r="V2" s="45"/>
      <c r="W2" s="45"/>
      <c r="X2" s="45"/>
      <c r="Y2" s="45"/>
      <c r="Z2" s="45"/>
      <c r="AA2" s="45"/>
      <c r="AB2" s="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5"/>
      <c r="BP2" s="5"/>
      <c r="BQ2" s="5"/>
      <c r="BR2" s="5"/>
      <c r="BS2" s="5"/>
    </row>
    <row r="3" spans="1:71" s="1" customFormat="1" hidden="1" x14ac:dyDescent="0.25">
      <c r="A3" s="96"/>
      <c r="B3" s="96"/>
      <c r="C3" s="96"/>
      <c r="D3" s="96"/>
      <c r="E3" s="96"/>
      <c r="F3" s="96"/>
      <c r="G3" s="96"/>
      <c r="H3" s="81"/>
      <c r="I3" s="81"/>
      <c r="J3" s="81"/>
      <c r="K3" s="81"/>
      <c r="L3" s="81"/>
      <c r="M3" s="81"/>
      <c r="N3" s="81"/>
      <c r="O3" s="81"/>
      <c r="P3" s="81"/>
      <c r="Q3" s="81"/>
      <c r="R3" s="73"/>
      <c r="S3" s="73"/>
      <c r="T3" s="5"/>
      <c r="U3" s="45"/>
      <c r="V3" s="45"/>
      <c r="W3" s="45"/>
      <c r="X3" s="45"/>
      <c r="Y3" s="45"/>
      <c r="Z3" s="45"/>
      <c r="AA3" s="45"/>
      <c r="AB3" s="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5"/>
      <c r="BP3" s="5"/>
      <c r="BQ3" s="5"/>
      <c r="BR3" s="5"/>
      <c r="BS3" s="5"/>
    </row>
    <row r="4" spans="1:71" s="1" customFormat="1" hidden="1" x14ac:dyDescent="0.25">
      <c r="A4" s="96"/>
      <c r="B4" s="96"/>
      <c r="C4" s="96"/>
      <c r="D4" s="96"/>
      <c r="E4" s="96"/>
      <c r="F4" s="96"/>
      <c r="G4" s="96"/>
      <c r="H4" s="81"/>
      <c r="I4" s="81"/>
      <c r="J4" s="81"/>
      <c r="K4" s="81"/>
      <c r="L4" s="81"/>
      <c r="M4" s="81"/>
      <c r="N4" s="81"/>
      <c r="O4" s="81"/>
      <c r="P4" s="81"/>
      <c r="Q4" s="81"/>
      <c r="R4" s="73"/>
      <c r="S4" s="73"/>
      <c r="T4" s="5"/>
      <c r="U4" s="45"/>
      <c r="V4" s="45"/>
      <c r="W4" s="45"/>
      <c r="X4" s="45"/>
      <c r="Y4" s="45"/>
      <c r="Z4" s="45"/>
      <c r="AA4" s="45"/>
      <c r="AB4" s="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5"/>
      <c r="BP4" s="5"/>
      <c r="BQ4" s="5"/>
      <c r="BR4" s="5"/>
      <c r="BS4" s="5"/>
    </row>
    <row r="5" spans="1:71" s="1" customFormat="1" hidden="1" x14ac:dyDescent="0.25">
      <c r="A5" s="96"/>
      <c r="B5" s="96"/>
      <c r="C5" s="96"/>
      <c r="D5" s="96"/>
      <c r="E5" s="96"/>
      <c r="F5" s="96"/>
      <c r="G5" s="96"/>
      <c r="H5" s="81"/>
      <c r="I5" s="81"/>
      <c r="J5" s="81"/>
      <c r="K5" s="81"/>
      <c r="L5" s="81"/>
      <c r="M5" s="81"/>
      <c r="N5" s="81"/>
      <c r="O5" s="81"/>
      <c r="P5" s="81"/>
      <c r="Q5" s="81"/>
      <c r="R5" s="73"/>
      <c r="S5" s="73"/>
      <c r="T5" s="5"/>
      <c r="U5" s="45"/>
      <c r="V5" s="45"/>
      <c r="W5" s="45"/>
      <c r="X5" s="45"/>
      <c r="Y5" s="45"/>
      <c r="Z5" s="45"/>
      <c r="AA5" s="45"/>
      <c r="AB5" s="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5"/>
      <c r="BP5" s="5"/>
      <c r="BQ5" s="5"/>
      <c r="BR5" s="5"/>
      <c r="BS5" s="5"/>
    </row>
    <row r="6" spans="1:71" s="1" customFormat="1" hidden="1" x14ac:dyDescent="0.25">
      <c r="A6" s="96"/>
      <c r="B6" s="96"/>
      <c r="C6" s="96"/>
      <c r="D6" s="96"/>
      <c r="E6" s="96"/>
      <c r="F6" s="96"/>
      <c r="G6" s="96"/>
      <c r="H6" s="81"/>
      <c r="I6" s="81"/>
      <c r="J6" s="81"/>
      <c r="K6" s="81"/>
      <c r="L6" s="81"/>
      <c r="M6" s="81"/>
      <c r="N6" s="81"/>
      <c r="O6" s="81"/>
      <c r="P6" s="81"/>
      <c r="Q6" s="81"/>
      <c r="R6" s="73"/>
      <c r="S6" s="73"/>
      <c r="T6" s="5"/>
      <c r="U6" s="45"/>
      <c r="V6" s="45"/>
      <c r="W6" s="45"/>
      <c r="X6" s="45"/>
      <c r="Y6" s="45"/>
      <c r="Z6" s="45"/>
      <c r="AA6" s="45"/>
      <c r="AB6" s="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5"/>
      <c r="BP6" s="5"/>
      <c r="BQ6" s="5"/>
      <c r="BR6" s="5"/>
      <c r="BS6" s="5"/>
    </row>
    <row r="7" spans="1:71" s="1" customFormat="1" ht="149.1" hidden="1" customHeight="1" x14ac:dyDescent="0.25">
      <c r="A7" s="131"/>
      <c r="B7" s="131"/>
      <c r="C7" s="131"/>
      <c r="D7" s="131"/>
      <c r="E7" s="131"/>
      <c r="F7" s="131"/>
      <c r="G7" s="131"/>
      <c r="H7" s="82"/>
      <c r="I7" s="82"/>
      <c r="J7" s="82"/>
      <c r="K7" s="82"/>
      <c r="L7" s="82"/>
      <c r="M7" s="82"/>
      <c r="N7" s="82"/>
      <c r="O7" s="82"/>
      <c r="P7" s="82"/>
      <c r="Q7" s="82"/>
      <c r="R7" s="73"/>
      <c r="S7" s="73"/>
      <c r="T7" s="5"/>
      <c r="U7" s="45"/>
      <c r="V7" s="45"/>
      <c r="W7" s="45"/>
      <c r="X7" s="45"/>
      <c r="Y7" s="45"/>
      <c r="Z7" s="45"/>
      <c r="AA7" s="45"/>
      <c r="AB7" s="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5"/>
      <c r="BP7" s="5"/>
      <c r="BQ7" s="5"/>
      <c r="BR7" s="5"/>
      <c r="BS7" s="5"/>
    </row>
    <row r="8" spans="1:71" s="1" customFormat="1" ht="14.1" customHeight="1" x14ac:dyDescent="0.25">
      <c r="A8" s="136" t="s">
        <v>6</v>
      </c>
      <c r="B8" s="137"/>
      <c r="C8" s="101" t="s">
        <v>230</v>
      </c>
      <c r="D8" s="102"/>
      <c r="E8" s="102"/>
      <c r="F8" s="102"/>
      <c r="G8" s="103"/>
      <c r="H8" s="119" t="s">
        <v>231</v>
      </c>
      <c r="I8" s="120"/>
      <c r="J8" s="120"/>
      <c r="K8" s="120"/>
      <c r="L8" s="120"/>
      <c r="M8" s="120"/>
      <c r="N8" s="120"/>
      <c r="O8" s="120"/>
      <c r="P8" s="120"/>
      <c r="Q8" s="120"/>
      <c r="R8" s="120"/>
      <c r="S8" s="120"/>
      <c r="T8" s="120"/>
      <c r="U8" s="120"/>
      <c r="V8" s="120"/>
      <c r="W8" s="139"/>
      <c r="X8" s="139"/>
      <c r="Y8" s="139"/>
      <c r="Z8" s="139"/>
      <c r="AA8" s="139"/>
      <c r="AB8" s="139"/>
      <c r="AC8" s="136" t="s">
        <v>428</v>
      </c>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7"/>
    </row>
    <row r="9" spans="1:71" s="1" customFormat="1" ht="59.25" customHeight="1" x14ac:dyDescent="0.25">
      <c r="A9" s="134" t="s">
        <v>92</v>
      </c>
      <c r="B9" s="134" t="s">
        <v>320</v>
      </c>
      <c r="C9" s="94" t="s">
        <v>318</v>
      </c>
      <c r="D9" s="94" t="s">
        <v>319</v>
      </c>
      <c r="E9" s="94" t="s">
        <v>367</v>
      </c>
      <c r="F9" s="94" t="s">
        <v>480</v>
      </c>
      <c r="G9" s="94" t="s">
        <v>93</v>
      </c>
      <c r="H9" s="108" t="s">
        <v>306</v>
      </c>
      <c r="I9" s="108" t="s">
        <v>307</v>
      </c>
      <c r="J9" s="108" t="s">
        <v>373</v>
      </c>
      <c r="K9" s="108" t="s">
        <v>257</v>
      </c>
      <c r="L9" s="108" t="s">
        <v>259</v>
      </c>
      <c r="M9" s="108" t="s">
        <v>260</v>
      </c>
      <c r="N9" s="108" t="s">
        <v>10</v>
      </c>
      <c r="O9" s="108" t="s">
        <v>374</v>
      </c>
      <c r="P9" s="108" t="s">
        <v>262</v>
      </c>
      <c r="Q9" s="108" t="s">
        <v>145</v>
      </c>
      <c r="R9" s="108" t="s">
        <v>256</v>
      </c>
      <c r="S9" s="108" t="s">
        <v>258</v>
      </c>
      <c r="T9" s="108" t="s">
        <v>91</v>
      </c>
      <c r="U9" s="108" t="s">
        <v>331</v>
      </c>
      <c r="V9" s="108" t="s">
        <v>264</v>
      </c>
      <c r="W9" s="99" t="s">
        <v>438</v>
      </c>
      <c r="X9" s="99" t="s">
        <v>440</v>
      </c>
      <c r="Y9" s="99" t="s">
        <v>442</v>
      </c>
      <c r="Z9" s="99" t="s">
        <v>450</v>
      </c>
      <c r="AA9" s="99" t="s">
        <v>443</v>
      </c>
      <c r="AB9" s="99" t="s">
        <v>439</v>
      </c>
      <c r="AC9" s="128" t="s">
        <v>437</v>
      </c>
      <c r="AD9" s="130"/>
      <c r="AE9" s="130"/>
      <c r="AF9" s="130"/>
      <c r="AG9" s="129"/>
      <c r="AH9" s="128" t="s">
        <v>451</v>
      </c>
      <c r="AI9" s="130"/>
      <c r="AJ9" s="130"/>
      <c r="AK9" s="130"/>
      <c r="AL9" s="129"/>
      <c r="AM9" s="128" t="s">
        <v>346</v>
      </c>
      <c r="AN9" s="130"/>
      <c r="AO9" s="130"/>
      <c r="AP9" s="129"/>
      <c r="AQ9" s="128" t="s">
        <v>347</v>
      </c>
      <c r="AR9" s="130"/>
      <c r="AS9" s="130"/>
      <c r="AT9" s="129"/>
      <c r="AU9" s="132" t="s">
        <v>354</v>
      </c>
      <c r="AV9" s="133"/>
      <c r="AW9" s="128" t="s">
        <v>360</v>
      </c>
      <c r="AX9" s="129"/>
      <c r="AY9" s="128" t="s">
        <v>359</v>
      </c>
      <c r="AZ9" s="129"/>
      <c r="BA9" s="128" t="s">
        <v>355</v>
      </c>
      <c r="BB9" s="129"/>
      <c r="BC9" s="128" t="s">
        <v>452</v>
      </c>
      <c r="BD9" s="130"/>
      <c r="BE9" s="130"/>
      <c r="BF9" s="129"/>
      <c r="BG9" s="132" t="s">
        <v>361</v>
      </c>
      <c r="BH9" s="133"/>
      <c r="BI9" s="128" t="s">
        <v>362</v>
      </c>
      <c r="BJ9" s="129"/>
      <c r="BK9" s="128" t="s">
        <v>363</v>
      </c>
      <c r="BL9" s="129"/>
      <c r="BM9" s="128" t="s">
        <v>364</v>
      </c>
      <c r="BN9" s="129"/>
      <c r="BO9" s="128" t="s">
        <v>453</v>
      </c>
      <c r="BP9" s="130"/>
      <c r="BQ9" s="130"/>
      <c r="BR9" s="129"/>
      <c r="BS9" s="140" t="s">
        <v>139</v>
      </c>
    </row>
    <row r="10" spans="1:71" s="1" customFormat="1" ht="45" x14ac:dyDescent="0.25">
      <c r="A10" s="135"/>
      <c r="B10" s="135"/>
      <c r="C10" s="95"/>
      <c r="D10" s="95"/>
      <c r="E10" s="95"/>
      <c r="F10" s="95"/>
      <c r="G10" s="95"/>
      <c r="H10" s="109"/>
      <c r="I10" s="109"/>
      <c r="J10" s="109"/>
      <c r="K10" s="109"/>
      <c r="L10" s="109"/>
      <c r="M10" s="109"/>
      <c r="N10" s="109"/>
      <c r="O10" s="109"/>
      <c r="P10" s="109"/>
      <c r="Q10" s="109"/>
      <c r="R10" s="109"/>
      <c r="S10" s="109"/>
      <c r="T10" s="109"/>
      <c r="U10" s="109"/>
      <c r="V10" s="109"/>
      <c r="W10" s="100"/>
      <c r="X10" s="100"/>
      <c r="Y10" s="100"/>
      <c r="Z10" s="100"/>
      <c r="AA10" s="100"/>
      <c r="AB10" s="100"/>
      <c r="AC10" s="80" t="s">
        <v>454</v>
      </c>
      <c r="AD10" s="80" t="s">
        <v>2</v>
      </c>
      <c r="AE10" s="80" t="s">
        <v>3</v>
      </c>
      <c r="AF10" s="80" t="s">
        <v>4</v>
      </c>
      <c r="AG10" s="80" t="s">
        <v>159</v>
      </c>
      <c r="AH10" s="80" t="s">
        <v>454</v>
      </c>
      <c r="AI10" s="80" t="s">
        <v>2</v>
      </c>
      <c r="AJ10" s="80" t="s">
        <v>3</v>
      </c>
      <c r="AK10" s="80" t="s">
        <v>4</v>
      </c>
      <c r="AL10" s="80" t="s">
        <v>159</v>
      </c>
      <c r="AM10" s="80" t="s">
        <v>2</v>
      </c>
      <c r="AN10" s="80" t="s">
        <v>3</v>
      </c>
      <c r="AO10" s="80" t="s">
        <v>4</v>
      </c>
      <c r="AP10" s="80" t="s">
        <v>159</v>
      </c>
      <c r="AQ10" s="80" t="s">
        <v>2</v>
      </c>
      <c r="AR10" s="80" t="s">
        <v>3</v>
      </c>
      <c r="AS10" s="80" t="s">
        <v>4</v>
      </c>
      <c r="AT10" s="80" t="s">
        <v>159</v>
      </c>
      <c r="AU10" s="6" t="s">
        <v>2</v>
      </c>
      <c r="AV10" s="6" t="s">
        <v>3</v>
      </c>
      <c r="AW10" s="6" t="s">
        <v>2</v>
      </c>
      <c r="AX10" s="6" t="s">
        <v>3</v>
      </c>
      <c r="AY10" s="6" t="s">
        <v>2</v>
      </c>
      <c r="AZ10" s="6" t="s">
        <v>3</v>
      </c>
      <c r="BA10" s="6" t="s">
        <v>2</v>
      </c>
      <c r="BB10" s="6" t="s">
        <v>3</v>
      </c>
      <c r="BC10" s="80" t="s">
        <v>98</v>
      </c>
      <c r="BD10" s="80" t="s">
        <v>2</v>
      </c>
      <c r="BE10" s="80" t="s">
        <v>3</v>
      </c>
      <c r="BF10" s="80" t="s">
        <v>4</v>
      </c>
      <c r="BG10" s="6" t="s">
        <v>2</v>
      </c>
      <c r="BH10" s="6" t="s">
        <v>3</v>
      </c>
      <c r="BI10" s="6" t="s">
        <v>2</v>
      </c>
      <c r="BJ10" s="6" t="s">
        <v>3</v>
      </c>
      <c r="BK10" s="6" t="s">
        <v>2</v>
      </c>
      <c r="BL10" s="6" t="s">
        <v>3</v>
      </c>
      <c r="BM10" s="6" t="s">
        <v>2</v>
      </c>
      <c r="BN10" s="6" t="s">
        <v>3</v>
      </c>
      <c r="BO10" s="68" t="s">
        <v>98</v>
      </c>
      <c r="BP10" s="68" t="s">
        <v>2</v>
      </c>
      <c r="BQ10" s="68" t="s">
        <v>3</v>
      </c>
      <c r="BR10" s="68" t="s">
        <v>4</v>
      </c>
      <c r="BS10" s="140"/>
    </row>
    <row r="11" spans="1:71" s="1" customFormat="1" ht="105" x14ac:dyDescent="0.25">
      <c r="A11" s="2" t="s">
        <v>5</v>
      </c>
      <c r="B11" s="2" t="s">
        <v>415</v>
      </c>
      <c r="C11" s="78" t="s">
        <v>309</v>
      </c>
      <c r="D11" s="78" t="s">
        <v>310</v>
      </c>
      <c r="E11" s="78"/>
      <c r="F11" s="42" t="s">
        <v>157</v>
      </c>
      <c r="G11" s="43" t="s">
        <v>158</v>
      </c>
      <c r="H11" s="3" t="s">
        <v>135</v>
      </c>
      <c r="I11" s="3" t="s">
        <v>135</v>
      </c>
      <c r="J11" s="3" t="s">
        <v>8</v>
      </c>
      <c r="K11" s="3"/>
      <c r="L11" s="3"/>
      <c r="M11" s="3"/>
      <c r="N11" s="3" t="s">
        <v>261</v>
      </c>
      <c r="O11" s="3" t="s">
        <v>308</v>
      </c>
      <c r="P11" s="3"/>
      <c r="Q11" s="3" t="s">
        <v>8</v>
      </c>
      <c r="R11" s="3" t="s">
        <v>8</v>
      </c>
      <c r="S11" s="3" t="s">
        <v>375</v>
      </c>
      <c r="T11" s="4" t="s">
        <v>117</v>
      </c>
      <c r="U11" s="4"/>
      <c r="V11" s="83"/>
      <c r="W11" s="70" t="s">
        <v>160</v>
      </c>
      <c r="X11" s="70" t="s">
        <v>441</v>
      </c>
      <c r="Y11" s="70" t="s">
        <v>448</v>
      </c>
      <c r="Z11" s="70" t="s">
        <v>444</v>
      </c>
      <c r="AA11" s="70" t="s">
        <v>449</v>
      </c>
      <c r="AB11" s="70" t="s">
        <v>135</v>
      </c>
      <c r="AC11" s="47"/>
      <c r="AD11" s="47"/>
      <c r="AE11" s="47"/>
      <c r="AF11" s="47"/>
      <c r="AG11" s="47"/>
      <c r="AH11" s="47"/>
      <c r="AI11" s="47"/>
      <c r="AJ11" s="47"/>
      <c r="AK11" s="47"/>
      <c r="AL11" s="47"/>
      <c r="AM11" s="47"/>
      <c r="AN11" s="47"/>
      <c r="AO11" s="47"/>
      <c r="AP11" s="47"/>
      <c r="AQ11" s="47"/>
      <c r="AR11" s="47"/>
      <c r="AS11" s="47"/>
      <c r="AT11" s="47"/>
      <c r="AU11" s="47" t="s">
        <v>356</v>
      </c>
      <c r="AV11" s="47"/>
      <c r="AW11" s="47"/>
      <c r="AX11" s="47"/>
      <c r="AY11" s="47"/>
      <c r="AZ11" s="47"/>
      <c r="BA11" s="47"/>
      <c r="BB11" s="47"/>
      <c r="BC11" s="47" t="s">
        <v>134</v>
      </c>
      <c r="BD11" s="47"/>
      <c r="BE11" s="47"/>
      <c r="BF11" s="47"/>
      <c r="BG11" s="47"/>
      <c r="BH11" s="47"/>
      <c r="BI11" s="47"/>
      <c r="BJ11" s="47"/>
      <c r="BK11" s="47"/>
      <c r="BL11" s="47"/>
      <c r="BM11" s="47"/>
      <c r="BN11" s="47"/>
      <c r="BO11" s="47" t="s">
        <v>134</v>
      </c>
      <c r="BP11" s="47"/>
      <c r="BQ11" s="47"/>
      <c r="BR11" s="47"/>
      <c r="BS11" s="2" t="s">
        <v>9</v>
      </c>
    </row>
    <row r="12" spans="1:71" s="30" customFormat="1" ht="12" x14ac:dyDescent="0.2">
      <c r="A12" s="46" t="s">
        <v>53</v>
      </c>
      <c r="B12" s="46" t="s">
        <v>330</v>
      </c>
      <c r="C12" s="46" t="s">
        <v>302</v>
      </c>
      <c r="D12" s="46" t="s">
        <v>303</v>
      </c>
      <c r="E12" s="46" t="s">
        <v>368</v>
      </c>
      <c r="F12" s="79" t="s">
        <v>228</v>
      </c>
      <c r="G12" s="79" t="s">
        <v>94</v>
      </c>
      <c r="H12" s="46" t="s">
        <v>95</v>
      </c>
      <c r="I12" s="46" t="s">
        <v>149</v>
      </c>
      <c r="J12" s="46" t="s">
        <v>54</v>
      </c>
      <c r="K12" s="46" t="s">
        <v>333</v>
      </c>
      <c r="L12" s="46" t="s">
        <v>292</v>
      </c>
      <c r="M12" s="46" t="s">
        <v>293</v>
      </c>
      <c r="N12" s="46" t="s">
        <v>55</v>
      </c>
      <c r="O12" s="46" t="s">
        <v>294</v>
      </c>
      <c r="P12" s="46" t="s">
        <v>295</v>
      </c>
      <c r="Q12" s="46" t="s">
        <v>56</v>
      </c>
      <c r="R12" s="46" t="s">
        <v>296</v>
      </c>
      <c r="S12" s="46" t="s">
        <v>297</v>
      </c>
      <c r="T12" s="46" t="s">
        <v>57</v>
      </c>
      <c r="U12" s="46" t="s">
        <v>332</v>
      </c>
      <c r="V12" s="46" t="s">
        <v>298</v>
      </c>
      <c r="W12" s="46" t="s">
        <v>226</v>
      </c>
      <c r="X12" s="46" t="s">
        <v>227</v>
      </c>
      <c r="Y12" s="46" t="s">
        <v>445</v>
      </c>
      <c r="Z12" s="46" t="s">
        <v>446</v>
      </c>
      <c r="AA12" s="46" t="s">
        <v>447</v>
      </c>
      <c r="AB12" s="46" t="s">
        <v>146</v>
      </c>
      <c r="AC12" s="46" t="s">
        <v>321</v>
      </c>
      <c r="AD12" s="46" t="s">
        <v>481</v>
      </c>
      <c r="AE12" s="46" t="s">
        <v>322</v>
      </c>
      <c r="AF12" s="46" t="s">
        <v>323</v>
      </c>
      <c r="AG12" s="46" t="s">
        <v>324</v>
      </c>
      <c r="AH12" s="46" t="s">
        <v>325</v>
      </c>
      <c r="AI12" s="46" t="s">
        <v>482</v>
      </c>
      <c r="AJ12" s="46" t="s">
        <v>327</v>
      </c>
      <c r="AK12" s="46" t="s">
        <v>326</v>
      </c>
      <c r="AL12" s="46" t="s">
        <v>328</v>
      </c>
      <c r="AM12" s="46" t="s">
        <v>483</v>
      </c>
      <c r="AN12" s="46" t="s">
        <v>348</v>
      </c>
      <c r="AO12" s="46" t="s">
        <v>349</v>
      </c>
      <c r="AP12" s="46" t="s">
        <v>350</v>
      </c>
      <c r="AQ12" s="46" t="s">
        <v>484</v>
      </c>
      <c r="AR12" s="46" t="s">
        <v>351</v>
      </c>
      <c r="AS12" s="46" t="s">
        <v>352</v>
      </c>
      <c r="AT12" s="46" t="s">
        <v>353</v>
      </c>
      <c r="AU12" s="46" t="s">
        <v>485</v>
      </c>
      <c r="AV12" s="46" t="s">
        <v>357</v>
      </c>
      <c r="AW12" s="46" t="s">
        <v>486</v>
      </c>
      <c r="AX12" s="46" t="s">
        <v>487</v>
      </c>
      <c r="AY12" s="46" t="s">
        <v>488</v>
      </c>
      <c r="AZ12" s="46" t="s">
        <v>489</v>
      </c>
      <c r="BA12" s="46" t="s">
        <v>490</v>
      </c>
      <c r="BB12" s="46" t="s">
        <v>358</v>
      </c>
      <c r="BC12" s="46" t="s">
        <v>338</v>
      </c>
      <c r="BD12" s="46" t="s">
        <v>339</v>
      </c>
      <c r="BE12" s="46" t="s">
        <v>340</v>
      </c>
      <c r="BF12" s="46" t="s">
        <v>341</v>
      </c>
      <c r="BG12" s="46" t="s">
        <v>491</v>
      </c>
      <c r="BH12" s="46" t="s">
        <v>365</v>
      </c>
      <c r="BI12" s="46" t="s">
        <v>492</v>
      </c>
      <c r="BJ12" s="46" t="s">
        <v>493</v>
      </c>
      <c r="BK12" s="46" t="s">
        <v>494</v>
      </c>
      <c r="BL12" s="46" t="s">
        <v>495</v>
      </c>
      <c r="BM12" s="46" t="s">
        <v>496</v>
      </c>
      <c r="BN12" s="46" t="s">
        <v>366</v>
      </c>
      <c r="BO12" s="46" t="s">
        <v>342</v>
      </c>
      <c r="BP12" s="46" t="s">
        <v>343</v>
      </c>
      <c r="BQ12" s="46" t="s">
        <v>344</v>
      </c>
      <c r="BR12" s="46" t="s">
        <v>345</v>
      </c>
      <c r="BS12" s="46" t="s">
        <v>229</v>
      </c>
    </row>
    <row r="13" spans="1:71" ht="45" x14ac:dyDescent="0.25">
      <c r="A13" s="32" t="s">
        <v>600</v>
      </c>
      <c r="B13" s="32" t="s">
        <v>600</v>
      </c>
      <c r="C13" s="32">
        <v>1</v>
      </c>
      <c r="D13" s="32">
        <v>1</v>
      </c>
      <c r="F13" s="32" t="s">
        <v>184</v>
      </c>
      <c r="G13" s="32">
        <v>904</v>
      </c>
      <c r="H13" s="32" t="s">
        <v>422</v>
      </c>
      <c r="I13" s="32" t="s">
        <v>103</v>
      </c>
      <c r="J13" s="32">
        <v>0.14230000000000001</v>
      </c>
      <c r="K13" s="32">
        <v>2.6682999999999999</v>
      </c>
      <c r="L13" s="32" t="s">
        <v>596</v>
      </c>
      <c r="M13" s="32">
        <v>2.06E-2</v>
      </c>
      <c r="N13" s="32">
        <v>0</v>
      </c>
      <c r="O13" s="32" t="s">
        <v>596</v>
      </c>
      <c r="P13" s="32" t="s">
        <v>596</v>
      </c>
      <c r="Q13" s="32">
        <v>21.700199999999999</v>
      </c>
      <c r="R13" s="32">
        <v>2.1032000000000002</v>
      </c>
      <c r="S13" s="32">
        <v>0.52810000000000001</v>
      </c>
      <c r="T13" s="32">
        <v>4.3</v>
      </c>
      <c r="U13" s="32" t="s">
        <v>596</v>
      </c>
      <c r="V13" s="32">
        <v>1000</v>
      </c>
      <c r="W13" s="33" t="s">
        <v>14</v>
      </c>
      <c r="X13" s="33" t="s">
        <v>190</v>
      </c>
      <c r="Z13" s="33" t="s">
        <v>459</v>
      </c>
      <c r="AA13" s="32" t="s">
        <v>597</v>
      </c>
      <c r="AB13" s="31" t="s">
        <v>130</v>
      </c>
      <c r="AC13" s="32" t="s">
        <v>598</v>
      </c>
      <c r="AD13" s="32">
        <v>-0.5692256</v>
      </c>
      <c r="AE13" s="32">
        <v>5.6545690000000004</v>
      </c>
      <c r="AF13" s="32">
        <v>18.412659999999999</v>
      </c>
      <c r="AG13" s="32">
        <v>-23.225519999999999</v>
      </c>
      <c r="AU13" s="32">
        <v>0.50084969999999995</v>
      </c>
      <c r="AV13" s="32">
        <v>0.5637529</v>
      </c>
      <c r="BC13" s="32" t="s">
        <v>599</v>
      </c>
      <c r="BD13" s="32">
        <v>0.37674800000000003</v>
      </c>
      <c r="BE13" s="32">
        <v>0.37674800000000003</v>
      </c>
      <c r="BF13" s="32">
        <v>4.6501270000000003</v>
      </c>
      <c r="BS13" s="32">
        <v>2.3080418613653328E-2</v>
      </c>
    </row>
    <row r="14" spans="1:71" ht="45" x14ac:dyDescent="0.25">
      <c r="A14" s="32" t="s">
        <v>601</v>
      </c>
      <c r="B14" s="32" t="s">
        <v>601</v>
      </c>
      <c r="C14" s="32">
        <v>1</v>
      </c>
      <c r="D14" s="32">
        <v>5</v>
      </c>
      <c r="F14" s="32" t="s">
        <v>184</v>
      </c>
      <c r="G14" s="32">
        <v>904</v>
      </c>
      <c r="H14" s="32" t="s">
        <v>422</v>
      </c>
      <c r="I14" s="32" t="s">
        <v>103</v>
      </c>
      <c r="J14" s="32">
        <v>0.14230000000000001</v>
      </c>
      <c r="K14" s="32">
        <v>2.6682999999999999</v>
      </c>
      <c r="L14" s="32" t="s">
        <v>596</v>
      </c>
      <c r="M14" s="32">
        <v>2.06E-2</v>
      </c>
      <c r="N14" s="32">
        <v>0</v>
      </c>
      <c r="O14" s="32" t="s">
        <v>596</v>
      </c>
      <c r="P14" s="32" t="s">
        <v>596</v>
      </c>
      <c r="Q14" s="32">
        <v>21.700199999999999</v>
      </c>
      <c r="R14" s="32">
        <v>2.1032000000000002</v>
      </c>
      <c r="S14" s="32">
        <v>0.52810000000000001</v>
      </c>
      <c r="T14" s="32">
        <v>4.3</v>
      </c>
      <c r="U14" s="32" t="s">
        <v>596</v>
      </c>
      <c r="V14" s="32">
        <v>1000</v>
      </c>
      <c r="W14" s="33" t="s">
        <v>14</v>
      </c>
      <c r="X14" s="33" t="s">
        <v>190</v>
      </c>
      <c r="Z14" s="33" t="s">
        <v>459</v>
      </c>
      <c r="AA14" s="32" t="s">
        <v>597</v>
      </c>
      <c r="AB14" s="31" t="s">
        <v>130</v>
      </c>
      <c r="AC14" s="32" t="s">
        <v>598</v>
      </c>
      <c r="AD14" s="32">
        <v>0.50286330000000001</v>
      </c>
      <c r="AE14" s="32">
        <v>2.2529279999999998</v>
      </c>
      <c r="AF14" s="32">
        <v>9.8897560000000002</v>
      </c>
      <c r="AG14" s="32">
        <v>-7.6517480000000004</v>
      </c>
      <c r="AU14" s="32">
        <v>1.54549</v>
      </c>
      <c r="AV14" s="32">
        <v>2.2612930000000002</v>
      </c>
      <c r="BC14" s="32" t="s">
        <v>599</v>
      </c>
      <c r="BD14" s="32">
        <v>-1.217906E-2</v>
      </c>
      <c r="BE14" s="32">
        <v>-1.217906E-2</v>
      </c>
      <c r="BF14" s="32">
        <v>98.596320000000006</v>
      </c>
      <c r="BS14" s="32">
        <v>7.122008092091317E-2</v>
      </c>
    </row>
    <row r="15" spans="1:71" ht="45" x14ac:dyDescent="0.25">
      <c r="A15" s="32" t="s">
        <v>602</v>
      </c>
      <c r="B15" s="32" t="s">
        <v>602</v>
      </c>
      <c r="C15" s="32">
        <v>1</v>
      </c>
      <c r="D15" s="32">
        <v>15</v>
      </c>
      <c r="F15" s="32" t="s">
        <v>184</v>
      </c>
      <c r="G15" s="32">
        <v>904</v>
      </c>
      <c r="H15" s="32" t="s">
        <v>422</v>
      </c>
      <c r="I15" s="32" t="s">
        <v>103</v>
      </c>
      <c r="J15" s="32">
        <v>0.14230000000000001</v>
      </c>
      <c r="K15" s="32">
        <v>2.6682999999999999</v>
      </c>
      <c r="L15" s="32" t="s">
        <v>596</v>
      </c>
      <c r="M15" s="32">
        <v>2.06E-2</v>
      </c>
      <c r="N15" s="32">
        <v>0</v>
      </c>
      <c r="O15" s="32" t="s">
        <v>596</v>
      </c>
      <c r="P15" s="32" t="s">
        <v>596</v>
      </c>
      <c r="Q15" s="32">
        <v>21.700199999999999</v>
      </c>
      <c r="R15" s="32">
        <v>2.1032000000000002</v>
      </c>
      <c r="S15" s="32">
        <v>0.52810000000000001</v>
      </c>
      <c r="T15" s="32">
        <v>4.3</v>
      </c>
      <c r="U15" s="32" t="s">
        <v>596</v>
      </c>
      <c r="V15" s="32">
        <v>1000</v>
      </c>
      <c r="W15" s="33" t="s">
        <v>14</v>
      </c>
      <c r="X15" s="33" t="s">
        <v>190</v>
      </c>
      <c r="Z15" s="33" t="s">
        <v>459</v>
      </c>
      <c r="AA15" s="32" t="s">
        <v>597</v>
      </c>
      <c r="AB15" s="31" t="s">
        <v>130</v>
      </c>
      <c r="AC15" s="32" t="s">
        <v>598</v>
      </c>
      <c r="AD15" s="32">
        <v>0.70989570000000002</v>
      </c>
      <c r="AE15" s="32">
        <v>1.642385</v>
      </c>
      <c r="AF15" s="32">
        <v>7.6117379999999999</v>
      </c>
      <c r="AG15" s="32">
        <v>-4.8394339999999998</v>
      </c>
      <c r="AU15" s="32">
        <v>1.3812390000000001</v>
      </c>
      <c r="AV15" s="32">
        <v>1.9921789999999999</v>
      </c>
      <c r="BC15" s="32" t="s">
        <v>599</v>
      </c>
      <c r="BD15" s="32">
        <v>6.8339460000000005E-2</v>
      </c>
      <c r="BE15" s="32">
        <v>6.8339460000000005E-2</v>
      </c>
      <c r="BF15" s="32">
        <v>128.91319999999999</v>
      </c>
      <c r="BS15" s="32">
        <v>6.3650980175297939E-2</v>
      </c>
    </row>
    <row r="16" spans="1:71" ht="45" x14ac:dyDescent="0.25">
      <c r="A16" s="32" t="s">
        <v>603</v>
      </c>
      <c r="B16" s="32" t="s">
        <v>603</v>
      </c>
      <c r="C16" s="32">
        <v>1</v>
      </c>
      <c r="D16" s="32">
        <v>15</v>
      </c>
      <c r="F16" s="32" t="s">
        <v>184</v>
      </c>
      <c r="G16" s="32">
        <v>904</v>
      </c>
      <c r="H16" s="32" t="s">
        <v>422</v>
      </c>
      <c r="I16" s="32" t="s">
        <v>103</v>
      </c>
      <c r="J16" s="32">
        <v>0.14230000000000001</v>
      </c>
      <c r="K16" s="32">
        <v>2.6682999999999999</v>
      </c>
      <c r="L16" s="32" t="s">
        <v>596</v>
      </c>
      <c r="M16" s="32">
        <v>2.06E-2</v>
      </c>
      <c r="N16" s="32">
        <v>0</v>
      </c>
      <c r="O16" s="32" t="s">
        <v>596</v>
      </c>
      <c r="P16" s="32" t="s">
        <v>596</v>
      </c>
      <c r="Q16" s="32">
        <v>21.700199999999999</v>
      </c>
      <c r="R16" s="32">
        <v>2.1032000000000002</v>
      </c>
      <c r="S16" s="32">
        <v>0.52810000000000001</v>
      </c>
      <c r="T16" s="32">
        <v>4.3</v>
      </c>
      <c r="U16" s="32" t="s">
        <v>596</v>
      </c>
      <c r="V16" s="32">
        <v>1000</v>
      </c>
      <c r="W16" s="33" t="s">
        <v>14</v>
      </c>
      <c r="X16" s="33" t="s">
        <v>190</v>
      </c>
      <c r="Z16" s="33" t="s">
        <v>459</v>
      </c>
      <c r="AA16" s="32" t="s">
        <v>597</v>
      </c>
      <c r="AB16" s="31" t="s">
        <v>130</v>
      </c>
      <c r="AC16" s="32" t="s">
        <v>598</v>
      </c>
      <c r="AD16" s="32">
        <v>0.70989570000000002</v>
      </c>
      <c r="AE16" s="32">
        <v>1.642385</v>
      </c>
      <c r="AF16" s="32">
        <v>7.6117379999999999</v>
      </c>
      <c r="AG16" s="32">
        <v>-4.8394339999999998</v>
      </c>
      <c r="AU16" s="32">
        <v>1.3812390000000001</v>
      </c>
      <c r="AV16" s="32">
        <v>1.9921789999999999</v>
      </c>
      <c r="BC16" s="32" t="s">
        <v>599</v>
      </c>
      <c r="BD16" s="32">
        <v>6.8339460000000005E-2</v>
      </c>
      <c r="BE16" s="32">
        <v>6.8339460000000005E-2</v>
      </c>
      <c r="BF16" s="32">
        <v>128.91319999999999</v>
      </c>
      <c r="BS16" s="32">
        <v>6.3650980175297939E-2</v>
      </c>
    </row>
    <row r="17" spans="1:71" ht="45" x14ac:dyDescent="0.25">
      <c r="A17" s="32" t="s">
        <v>604</v>
      </c>
      <c r="B17" s="32" t="s">
        <v>604</v>
      </c>
      <c r="C17" s="32">
        <v>1</v>
      </c>
      <c r="D17" s="32">
        <v>19</v>
      </c>
      <c r="F17" s="32" t="s">
        <v>184</v>
      </c>
      <c r="G17" s="32">
        <v>904</v>
      </c>
      <c r="H17" s="32" t="s">
        <v>422</v>
      </c>
      <c r="I17" s="32" t="s">
        <v>103</v>
      </c>
      <c r="J17" s="32">
        <v>0.14230000000000001</v>
      </c>
      <c r="K17" s="32">
        <v>2.6682999999999999</v>
      </c>
      <c r="L17" s="32" t="s">
        <v>596</v>
      </c>
      <c r="M17" s="32">
        <v>2.06E-2</v>
      </c>
      <c r="N17" s="32">
        <v>0</v>
      </c>
      <c r="O17" s="32" t="s">
        <v>596</v>
      </c>
      <c r="P17" s="32" t="s">
        <v>596</v>
      </c>
      <c r="Q17" s="32">
        <v>21.700199999999999</v>
      </c>
      <c r="R17" s="32">
        <v>2.1032000000000002</v>
      </c>
      <c r="S17" s="32">
        <v>0.52810000000000001</v>
      </c>
      <c r="T17" s="32">
        <v>4.3</v>
      </c>
      <c r="U17" s="32" t="s">
        <v>596</v>
      </c>
      <c r="V17" s="32">
        <v>1000</v>
      </c>
      <c r="W17" s="33" t="s">
        <v>14</v>
      </c>
      <c r="X17" s="33" t="s">
        <v>190</v>
      </c>
      <c r="Z17" s="33" t="s">
        <v>459</v>
      </c>
      <c r="AA17" s="32" t="s">
        <v>597</v>
      </c>
      <c r="AB17" s="31" t="s">
        <v>130</v>
      </c>
      <c r="AC17" s="32" t="s">
        <v>598</v>
      </c>
      <c r="AD17" s="32">
        <v>0.79921410000000004</v>
      </c>
      <c r="AE17" s="32">
        <v>1.3984350000000001</v>
      </c>
      <c r="AF17" s="32">
        <v>6.6456720000000002</v>
      </c>
      <c r="AG17" s="32">
        <v>-3.9866519999999999</v>
      </c>
      <c r="AU17" s="32">
        <v>1.287086</v>
      </c>
      <c r="AV17" s="32">
        <v>1.8321400000000001</v>
      </c>
      <c r="BC17" s="32" t="s">
        <v>599</v>
      </c>
      <c r="BD17" s="32">
        <v>-0.205925</v>
      </c>
      <c r="BE17" s="32">
        <v>-0.205925</v>
      </c>
      <c r="BF17" s="32">
        <v>143.80760000000001</v>
      </c>
      <c r="BS17" s="32">
        <v>5.9312172238043893E-2</v>
      </c>
    </row>
    <row r="18" spans="1:71" ht="45" x14ac:dyDescent="0.25">
      <c r="A18" s="32" t="s">
        <v>605</v>
      </c>
      <c r="B18" s="32" t="s">
        <v>605</v>
      </c>
      <c r="C18" s="32">
        <v>1</v>
      </c>
      <c r="D18" s="32">
        <v>19</v>
      </c>
      <c r="F18" s="32" t="s">
        <v>184</v>
      </c>
      <c r="G18" s="32">
        <v>904</v>
      </c>
      <c r="H18" s="32" t="s">
        <v>422</v>
      </c>
      <c r="I18" s="32" t="s">
        <v>103</v>
      </c>
      <c r="J18" s="32">
        <v>0.14230000000000001</v>
      </c>
      <c r="K18" s="32">
        <v>2.6682999999999999</v>
      </c>
      <c r="L18" s="32" t="s">
        <v>596</v>
      </c>
      <c r="M18" s="32">
        <v>2.06E-2</v>
      </c>
      <c r="N18" s="32">
        <v>0</v>
      </c>
      <c r="O18" s="32" t="s">
        <v>596</v>
      </c>
      <c r="P18" s="32" t="s">
        <v>596</v>
      </c>
      <c r="Q18" s="32">
        <v>21.700199999999999</v>
      </c>
      <c r="R18" s="32">
        <v>2.1032000000000002</v>
      </c>
      <c r="S18" s="32">
        <v>0.52810000000000001</v>
      </c>
      <c r="T18" s="32">
        <v>4.3</v>
      </c>
      <c r="U18" s="32" t="s">
        <v>596</v>
      </c>
      <c r="V18" s="32">
        <v>1000</v>
      </c>
      <c r="W18" s="33" t="s">
        <v>14</v>
      </c>
      <c r="X18" s="33" t="s">
        <v>190</v>
      </c>
      <c r="Z18" s="33" t="s">
        <v>459</v>
      </c>
      <c r="AA18" s="32" t="s">
        <v>597</v>
      </c>
      <c r="AB18" s="31" t="s">
        <v>130</v>
      </c>
      <c r="AC18" s="32" t="s">
        <v>598</v>
      </c>
      <c r="AD18" s="32">
        <v>0.54599529999999996</v>
      </c>
      <c r="AE18" s="32">
        <v>1.399681</v>
      </c>
      <c r="AF18" s="32">
        <v>6.3731980000000004</v>
      </c>
      <c r="AG18" s="32">
        <v>-4.2102979999999999</v>
      </c>
      <c r="AU18" s="32">
        <v>1.2932920000000001</v>
      </c>
      <c r="AV18" s="32">
        <v>1.842641</v>
      </c>
      <c r="BC18" s="32" t="s">
        <v>599</v>
      </c>
      <c r="BD18" s="32">
        <v>0.2061432</v>
      </c>
      <c r="BE18" s="32">
        <v>0.2061432</v>
      </c>
      <c r="BF18" s="32">
        <v>143.9306</v>
      </c>
      <c r="BS18" s="32">
        <v>5.9598160385618576E-2</v>
      </c>
    </row>
    <row r="19" spans="1:71" ht="45" x14ac:dyDescent="0.25">
      <c r="A19" s="32" t="s">
        <v>606</v>
      </c>
      <c r="B19" s="32" t="s">
        <v>606</v>
      </c>
      <c r="C19" s="32">
        <v>1</v>
      </c>
      <c r="D19" s="32">
        <v>19</v>
      </c>
      <c r="F19" s="32" t="s">
        <v>184</v>
      </c>
      <c r="G19" s="32">
        <v>904</v>
      </c>
      <c r="H19" s="32" t="s">
        <v>422</v>
      </c>
      <c r="I19" s="32" t="s">
        <v>103</v>
      </c>
      <c r="J19" s="32">
        <v>0.14230000000000001</v>
      </c>
      <c r="K19" s="32">
        <v>2.6682999999999999</v>
      </c>
      <c r="L19" s="32" t="s">
        <v>596</v>
      </c>
      <c r="M19" s="32">
        <v>2.06E-2</v>
      </c>
      <c r="N19" s="32">
        <v>0</v>
      </c>
      <c r="O19" s="32" t="s">
        <v>596</v>
      </c>
      <c r="P19" s="32" t="s">
        <v>596</v>
      </c>
      <c r="Q19" s="32">
        <v>21.700199999999999</v>
      </c>
      <c r="R19" s="32">
        <v>2.1032000000000002</v>
      </c>
      <c r="S19" s="32">
        <v>0.52810000000000001</v>
      </c>
      <c r="T19" s="32">
        <v>4.3</v>
      </c>
      <c r="U19" s="32" t="s">
        <v>596</v>
      </c>
      <c r="V19" s="32">
        <v>1000</v>
      </c>
      <c r="W19" s="33" t="s">
        <v>14</v>
      </c>
      <c r="X19" s="33" t="s">
        <v>190</v>
      </c>
      <c r="Z19" s="33" t="s">
        <v>459</v>
      </c>
      <c r="AA19" s="32" t="s">
        <v>597</v>
      </c>
      <c r="AB19" s="31" t="s">
        <v>130</v>
      </c>
      <c r="AC19" s="32" t="s">
        <v>598</v>
      </c>
      <c r="AD19" s="32">
        <v>0.54599529999999996</v>
      </c>
      <c r="AE19" s="32">
        <v>1.399681</v>
      </c>
      <c r="AF19" s="32">
        <v>6.3731980000000004</v>
      </c>
      <c r="AG19" s="32">
        <v>-4.2102979999999999</v>
      </c>
      <c r="AU19" s="32">
        <v>1.2932920000000001</v>
      </c>
      <c r="AV19" s="32">
        <v>1.842641</v>
      </c>
      <c r="BC19" s="32" t="s">
        <v>599</v>
      </c>
      <c r="BD19" s="32">
        <v>0.2061432</v>
      </c>
      <c r="BE19" s="32">
        <v>0.2061432</v>
      </c>
      <c r="BF19" s="32">
        <v>143.9306</v>
      </c>
      <c r="BS19" s="32">
        <v>5.9598160385618576E-2</v>
      </c>
    </row>
    <row r="20" spans="1:71" ht="45" x14ac:dyDescent="0.25">
      <c r="A20" s="32" t="s">
        <v>607</v>
      </c>
      <c r="B20" s="32" t="s">
        <v>607</v>
      </c>
      <c r="C20" s="32">
        <v>1</v>
      </c>
      <c r="D20" s="32">
        <v>20</v>
      </c>
      <c r="F20" s="32" t="s">
        <v>184</v>
      </c>
      <c r="G20" s="32">
        <v>904</v>
      </c>
      <c r="H20" s="32" t="s">
        <v>422</v>
      </c>
      <c r="I20" s="32" t="s">
        <v>103</v>
      </c>
      <c r="J20" s="32">
        <v>0.14230000000000001</v>
      </c>
      <c r="K20" s="32">
        <v>2.6682999999999999</v>
      </c>
      <c r="L20" s="32" t="s">
        <v>596</v>
      </c>
      <c r="M20" s="32">
        <v>2.06E-2</v>
      </c>
      <c r="N20" s="32">
        <v>0</v>
      </c>
      <c r="O20" s="32" t="s">
        <v>596</v>
      </c>
      <c r="P20" s="32" t="s">
        <v>596</v>
      </c>
      <c r="Q20" s="32">
        <v>21.700199999999999</v>
      </c>
      <c r="R20" s="32">
        <v>2.1032000000000002</v>
      </c>
      <c r="S20" s="32">
        <v>0.52810000000000001</v>
      </c>
      <c r="T20" s="32">
        <v>4.3</v>
      </c>
      <c r="U20" s="32" t="s">
        <v>596</v>
      </c>
      <c r="V20" s="32">
        <v>1000</v>
      </c>
      <c r="W20" s="33" t="s">
        <v>14</v>
      </c>
      <c r="X20" s="33" t="s">
        <v>190</v>
      </c>
      <c r="Z20" s="33" t="s">
        <v>459</v>
      </c>
      <c r="AA20" s="32" t="s">
        <v>597</v>
      </c>
      <c r="AB20" s="31" t="s">
        <v>130</v>
      </c>
      <c r="AC20" s="32" t="s">
        <v>598</v>
      </c>
      <c r="AD20" s="32">
        <v>0.60911789999999999</v>
      </c>
      <c r="AE20" s="32">
        <v>1.236167</v>
      </c>
      <c r="AF20" s="32">
        <v>7.1879150000000003</v>
      </c>
      <c r="AG20" s="32">
        <v>-4.2744869999999997</v>
      </c>
      <c r="AU20" s="32">
        <v>2.3882210000000001</v>
      </c>
      <c r="AV20" s="32">
        <v>3.3944179999999999</v>
      </c>
      <c r="BC20" s="32" t="s">
        <v>599</v>
      </c>
      <c r="BD20" s="32">
        <v>0.4339191</v>
      </c>
      <c r="BE20" s="32">
        <v>0.4339191</v>
      </c>
      <c r="BF20" s="32">
        <v>175.9186</v>
      </c>
      <c r="BS20" s="32">
        <v>0.11005525294697746</v>
      </c>
    </row>
    <row r="21" spans="1:71" ht="45" x14ac:dyDescent="0.25">
      <c r="A21" s="32" t="s">
        <v>608</v>
      </c>
      <c r="B21" s="32" t="s">
        <v>608</v>
      </c>
      <c r="C21" s="32">
        <v>1</v>
      </c>
      <c r="D21" s="32">
        <v>4</v>
      </c>
      <c r="F21" s="32" t="s">
        <v>176</v>
      </c>
      <c r="G21" s="32">
        <v>964</v>
      </c>
      <c r="H21" s="32" t="s">
        <v>422</v>
      </c>
      <c r="I21" s="32" t="s">
        <v>102</v>
      </c>
      <c r="J21" s="32">
        <v>8.0299999999999996E-2</v>
      </c>
      <c r="K21" s="32">
        <v>1.9878</v>
      </c>
      <c r="L21" s="32" t="s">
        <v>596</v>
      </c>
      <c r="M21" s="32">
        <v>1.9400000000000001E-2</v>
      </c>
      <c r="N21" s="32">
        <v>0</v>
      </c>
      <c r="O21" s="32" t="s">
        <v>596</v>
      </c>
      <c r="P21" s="32" t="s">
        <v>596</v>
      </c>
      <c r="Q21" s="32">
        <v>4.9999000000000002</v>
      </c>
      <c r="R21" s="32">
        <v>1.6289</v>
      </c>
      <c r="S21" s="32">
        <v>0.78220000000000001</v>
      </c>
      <c r="T21" s="32">
        <v>4.3</v>
      </c>
      <c r="U21" s="32" t="s">
        <v>596</v>
      </c>
      <c r="V21" s="32">
        <v>1000</v>
      </c>
      <c r="W21" s="33" t="s">
        <v>14</v>
      </c>
      <c r="X21" s="33" t="s">
        <v>190</v>
      </c>
      <c r="Z21" s="33" t="s">
        <v>459</v>
      </c>
      <c r="AA21" s="32" t="s">
        <v>597</v>
      </c>
      <c r="AB21" s="31" t="s">
        <v>130</v>
      </c>
      <c r="AC21" s="32" t="s">
        <v>598</v>
      </c>
      <c r="AD21" s="32">
        <v>0.16408890000000001</v>
      </c>
      <c r="AE21" s="32">
        <v>1.425551</v>
      </c>
      <c r="AF21" s="32">
        <v>5.6901760000000001</v>
      </c>
      <c r="AG21" s="32">
        <v>-5.0398050000000003</v>
      </c>
      <c r="AU21" s="32">
        <v>1.198534</v>
      </c>
      <c r="AV21" s="32">
        <v>1.7768949999999999</v>
      </c>
      <c r="BC21" s="32" t="s">
        <v>599</v>
      </c>
      <c r="BD21" s="32">
        <v>4.80335E-2</v>
      </c>
      <c r="BE21" s="32">
        <v>4.80335E-2</v>
      </c>
      <c r="BF21" s="32">
        <v>51.118459999999999</v>
      </c>
      <c r="BS21" s="32">
        <v>0.23971159423188462</v>
      </c>
    </row>
    <row r="22" spans="1:71" ht="45" x14ac:dyDescent="0.25">
      <c r="A22" s="32" t="s">
        <v>609</v>
      </c>
      <c r="B22" s="32" t="s">
        <v>609</v>
      </c>
      <c r="C22" s="32">
        <v>1</v>
      </c>
      <c r="D22" s="32">
        <v>8</v>
      </c>
      <c r="F22" s="32" t="s">
        <v>176</v>
      </c>
      <c r="G22" s="32">
        <v>964</v>
      </c>
      <c r="H22" s="32" t="s">
        <v>422</v>
      </c>
      <c r="I22" s="32" t="s">
        <v>102</v>
      </c>
      <c r="J22" s="32">
        <v>8.0299999999999996E-2</v>
      </c>
      <c r="K22" s="32">
        <v>1.9878</v>
      </c>
      <c r="L22" s="32" t="s">
        <v>596</v>
      </c>
      <c r="M22" s="32">
        <v>1.9400000000000001E-2</v>
      </c>
      <c r="N22" s="32">
        <v>0</v>
      </c>
      <c r="O22" s="32" t="s">
        <v>596</v>
      </c>
      <c r="P22" s="32" t="s">
        <v>596</v>
      </c>
      <c r="Q22" s="32">
        <v>4.9999000000000002</v>
      </c>
      <c r="R22" s="32">
        <v>1.6289</v>
      </c>
      <c r="S22" s="32">
        <v>0.78220000000000001</v>
      </c>
      <c r="T22" s="32">
        <v>4.3</v>
      </c>
      <c r="U22" s="32" t="s">
        <v>596</v>
      </c>
      <c r="V22" s="32">
        <v>1000</v>
      </c>
      <c r="W22" s="33" t="s">
        <v>14</v>
      </c>
      <c r="X22" s="33" t="s">
        <v>190</v>
      </c>
      <c r="Z22" s="33" t="s">
        <v>459</v>
      </c>
      <c r="AA22" s="32" t="s">
        <v>597</v>
      </c>
      <c r="AB22" s="31" t="s">
        <v>130</v>
      </c>
      <c r="AC22" s="32" t="s">
        <v>598</v>
      </c>
      <c r="AD22" s="32">
        <v>0.14487</v>
      </c>
      <c r="AE22" s="32">
        <v>1.103413</v>
      </c>
      <c r="AF22" s="32">
        <v>4.3697439999999999</v>
      </c>
      <c r="AG22" s="32">
        <v>-4.1019350000000001</v>
      </c>
      <c r="AU22" s="32">
        <v>1.1400049999999999</v>
      </c>
      <c r="AV22" s="32">
        <v>1.69295</v>
      </c>
      <c r="BC22" s="32" t="s">
        <v>599</v>
      </c>
      <c r="BD22" s="32">
        <v>0.119588</v>
      </c>
      <c r="BE22" s="32">
        <v>0.119588</v>
      </c>
      <c r="BF22" s="32">
        <v>65.065700000000007</v>
      </c>
      <c r="BS22" s="32">
        <v>0.22800556011120221</v>
      </c>
    </row>
    <row r="23" spans="1:71" ht="45" x14ac:dyDescent="0.25">
      <c r="A23" s="32" t="s">
        <v>610</v>
      </c>
      <c r="B23" s="32" t="s">
        <v>610</v>
      </c>
      <c r="C23" s="32">
        <v>1</v>
      </c>
      <c r="D23" s="32">
        <v>11</v>
      </c>
      <c r="F23" s="32" t="s">
        <v>176</v>
      </c>
      <c r="G23" s="32">
        <v>964</v>
      </c>
      <c r="H23" s="32" t="s">
        <v>422</v>
      </c>
      <c r="I23" s="32" t="s">
        <v>102</v>
      </c>
      <c r="J23" s="32">
        <v>8.0299999999999996E-2</v>
      </c>
      <c r="K23" s="32">
        <v>1.9878</v>
      </c>
      <c r="L23" s="32" t="s">
        <v>596</v>
      </c>
      <c r="M23" s="32">
        <v>1.9400000000000001E-2</v>
      </c>
      <c r="N23" s="32">
        <v>0</v>
      </c>
      <c r="O23" s="32" t="s">
        <v>596</v>
      </c>
      <c r="P23" s="32" t="s">
        <v>596</v>
      </c>
      <c r="Q23" s="32">
        <v>4.9999000000000002</v>
      </c>
      <c r="R23" s="32">
        <v>1.6289</v>
      </c>
      <c r="S23" s="32">
        <v>0.78220000000000001</v>
      </c>
      <c r="T23" s="32">
        <v>4.3</v>
      </c>
      <c r="U23" s="32" t="s">
        <v>596</v>
      </c>
      <c r="V23" s="32">
        <v>1000</v>
      </c>
      <c r="W23" s="33" t="s">
        <v>14</v>
      </c>
      <c r="X23" s="33" t="s">
        <v>190</v>
      </c>
      <c r="Z23" s="33" t="s">
        <v>459</v>
      </c>
      <c r="AA23" s="32" t="s">
        <v>597</v>
      </c>
      <c r="AB23" s="31" t="s">
        <v>130</v>
      </c>
      <c r="AC23" s="32" t="s">
        <v>598</v>
      </c>
      <c r="AD23" s="32">
        <v>0.27390530000000002</v>
      </c>
      <c r="AE23" s="32">
        <v>1.0236829999999999</v>
      </c>
      <c r="AF23" s="32">
        <v>4.2209490000000001</v>
      </c>
      <c r="AG23" s="32">
        <v>-4.385008</v>
      </c>
      <c r="AU23" s="32">
        <v>1.09934</v>
      </c>
      <c r="AV23" s="32">
        <v>1.657789</v>
      </c>
      <c r="BC23" s="32" t="s">
        <v>599</v>
      </c>
      <c r="BD23" s="32">
        <v>-9.1770110000000002E-2</v>
      </c>
      <c r="BE23" s="32">
        <v>-9.1770110000000002E-2</v>
      </c>
      <c r="BF23" s="32">
        <v>88.694770000000005</v>
      </c>
      <c r="BS23" s="32">
        <v>0.21987239744794895</v>
      </c>
    </row>
    <row r="24" spans="1:71" ht="45" x14ac:dyDescent="0.25">
      <c r="A24" s="32" t="s">
        <v>611</v>
      </c>
      <c r="B24" s="32" t="s">
        <v>611</v>
      </c>
      <c r="C24" s="32">
        <v>1</v>
      </c>
      <c r="D24" s="32">
        <v>14</v>
      </c>
      <c r="F24" s="32" t="s">
        <v>176</v>
      </c>
      <c r="G24" s="32">
        <v>964</v>
      </c>
      <c r="H24" s="32" t="s">
        <v>422</v>
      </c>
      <c r="I24" s="32" t="s">
        <v>102</v>
      </c>
      <c r="J24" s="32">
        <v>8.0299999999999996E-2</v>
      </c>
      <c r="K24" s="32">
        <v>1.9878</v>
      </c>
      <c r="L24" s="32" t="s">
        <v>596</v>
      </c>
      <c r="M24" s="32">
        <v>1.9400000000000001E-2</v>
      </c>
      <c r="N24" s="32">
        <v>0</v>
      </c>
      <c r="O24" s="32" t="s">
        <v>596</v>
      </c>
      <c r="P24" s="32" t="s">
        <v>596</v>
      </c>
      <c r="Q24" s="32">
        <v>4.9999000000000002</v>
      </c>
      <c r="R24" s="32">
        <v>1.6289</v>
      </c>
      <c r="S24" s="32">
        <v>0.78220000000000001</v>
      </c>
      <c r="T24" s="32">
        <v>4.3</v>
      </c>
      <c r="U24" s="32" t="s">
        <v>596</v>
      </c>
      <c r="V24" s="32">
        <v>1000</v>
      </c>
      <c r="W24" s="33" t="s">
        <v>14</v>
      </c>
      <c r="X24" s="33" t="s">
        <v>190</v>
      </c>
      <c r="Z24" s="33" t="s">
        <v>459</v>
      </c>
      <c r="AA24" s="32" t="s">
        <v>597</v>
      </c>
      <c r="AB24" s="31" t="s">
        <v>130</v>
      </c>
      <c r="AC24" s="32" t="s">
        <v>598</v>
      </c>
      <c r="AD24" s="32">
        <v>0.53957160000000004</v>
      </c>
      <c r="AE24" s="32">
        <v>0.9630957</v>
      </c>
      <c r="AF24" s="32">
        <v>4.1473370000000003</v>
      </c>
      <c r="AG24" s="32">
        <v>-3.9215100000000001</v>
      </c>
      <c r="AU24" s="32">
        <v>1.064867</v>
      </c>
      <c r="AV24" s="32">
        <v>1.599586</v>
      </c>
      <c r="BC24" s="32" t="s">
        <v>599</v>
      </c>
      <c r="BD24" s="32">
        <v>-0.13338369999999999</v>
      </c>
      <c r="BE24" s="32">
        <v>-0.13338369999999999</v>
      </c>
      <c r="BF24" s="32">
        <v>94.121589999999998</v>
      </c>
      <c r="BS24" s="32">
        <v>0.21297765955319106</v>
      </c>
    </row>
    <row r="25" spans="1:71" ht="45" x14ac:dyDescent="0.25">
      <c r="A25" s="32" t="s">
        <v>612</v>
      </c>
      <c r="B25" s="32" t="s">
        <v>612</v>
      </c>
      <c r="C25" s="32">
        <v>1</v>
      </c>
      <c r="D25" s="32">
        <v>16</v>
      </c>
      <c r="F25" s="32" t="s">
        <v>176</v>
      </c>
      <c r="G25" s="32">
        <v>964</v>
      </c>
      <c r="H25" s="32" t="s">
        <v>422</v>
      </c>
      <c r="I25" s="32" t="s">
        <v>102</v>
      </c>
      <c r="J25" s="32">
        <v>8.0299999999999996E-2</v>
      </c>
      <c r="K25" s="32">
        <v>1.9878</v>
      </c>
      <c r="L25" s="32" t="s">
        <v>596</v>
      </c>
      <c r="M25" s="32">
        <v>1.9400000000000001E-2</v>
      </c>
      <c r="N25" s="32">
        <v>0</v>
      </c>
      <c r="O25" s="32" t="s">
        <v>596</v>
      </c>
      <c r="P25" s="32" t="s">
        <v>596</v>
      </c>
      <c r="Q25" s="32">
        <v>4.9999000000000002</v>
      </c>
      <c r="R25" s="32">
        <v>1.6289</v>
      </c>
      <c r="S25" s="32">
        <v>0.78220000000000001</v>
      </c>
      <c r="T25" s="32">
        <v>4.3</v>
      </c>
      <c r="U25" s="32" t="s">
        <v>596</v>
      </c>
      <c r="V25" s="32">
        <v>1000</v>
      </c>
      <c r="W25" s="33" t="s">
        <v>14</v>
      </c>
      <c r="X25" s="33" t="s">
        <v>190</v>
      </c>
      <c r="Z25" s="33" t="s">
        <v>459</v>
      </c>
      <c r="AA25" s="32" t="s">
        <v>597</v>
      </c>
      <c r="AB25" s="31" t="s">
        <v>130</v>
      </c>
      <c r="AC25" s="32" t="s">
        <v>598</v>
      </c>
      <c r="AD25" s="32">
        <v>0.38790219999999997</v>
      </c>
      <c r="AE25" s="32">
        <v>0.88878369999999995</v>
      </c>
      <c r="AF25" s="32">
        <v>3.853888</v>
      </c>
      <c r="AG25" s="32">
        <v>-3.5924010000000002</v>
      </c>
      <c r="AU25" s="32">
        <v>1.0239469999999999</v>
      </c>
      <c r="AV25" s="32">
        <v>1.5283979999999999</v>
      </c>
      <c r="BC25" s="32" t="s">
        <v>599</v>
      </c>
      <c r="BD25" s="32">
        <v>-6.5777680000000005E-2</v>
      </c>
      <c r="BE25" s="32">
        <v>-6.5777680000000005E-2</v>
      </c>
      <c r="BF25" s="32">
        <v>95.478589999999997</v>
      </c>
      <c r="BS25" s="32">
        <v>0.20479349586991738</v>
      </c>
    </row>
    <row r="26" spans="1:71" ht="45" x14ac:dyDescent="0.25">
      <c r="A26" s="32" t="s">
        <v>613</v>
      </c>
      <c r="B26" s="32" t="s">
        <v>613</v>
      </c>
      <c r="C26" s="32">
        <v>1</v>
      </c>
      <c r="D26" s="32">
        <v>16</v>
      </c>
      <c r="F26" s="32" t="s">
        <v>176</v>
      </c>
      <c r="G26" s="32">
        <v>964</v>
      </c>
      <c r="H26" s="32" t="s">
        <v>422</v>
      </c>
      <c r="I26" s="32" t="s">
        <v>102</v>
      </c>
      <c r="J26" s="32">
        <v>8.0299999999999996E-2</v>
      </c>
      <c r="K26" s="32">
        <v>1.9878</v>
      </c>
      <c r="L26" s="32" t="s">
        <v>596</v>
      </c>
      <c r="M26" s="32">
        <v>1.9400000000000001E-2</v>
      </c>
      <c r="N26" s="32">
        <v>0</v>
      </c>
      <c r="O26" s="32" t="s">
        <v>596</v>
      </c>
      <c r="P26" s="32" t="s">
        <v>596</v>
      </c>
      <c r="Q26" s="32">
        <v>4.9999000000000002</v>
      </c>
      <c r="R26" s="32">
        <v>1.6289</v>
      </c>
      <c r="S26" s="32">
        <v>0.78220000000000001</v>
      </c>
      <c r="T26" s="32">
        <v>4.3</v>
      </c>
      <c r="U26" s="32" t="s">
        <v>596</v>
      </c>
      <c r="V26" s="32">
        <v>1000</v>
      </c>
      <c r="W26" s="33" t="s">
        <v>14</v>
      </c>
      <c r="X26" s="33" t="s">
        <v>190</v>
      </c>
      <c r="Z26" s="33" t="s">
        <v>459</v>
      </c>
      <c r="AA26" s="32" t="s">
        <v>597</v>
      </c>
      <c r="AB26" s="31" t="s">
        <v>130</v>
      </c>
      <c r="AC26" s="32" t="s">
        <v>598</v>
      </c>
      <c r="AD26" s="32">
        <v>0.38790219999999997</v>
      </c>
      <c r="AE26" s="32">
        <v>0.88878369999999995</v>
      </c>
      <c r="AF26" s="32">
        <v>3.853888</v>
      </c>
      <c r="AG26" s="32">
        <v>-3.5924010000000002</v>
      </c>
      <c r="AU26" s="32">
        <v>1.0239469999999999</v>
      </c>
      <c r="AV26" s="32">
        <v>1.5283979999999999</v>
      </c>
      <c r="BC26" s="32" t="s">
        <v>599</v>
      </c>
      <c r="BD26" s="32">
        <v>-6.5777680000000005E-2</v>
      </c>
      <c r="BE26" s="32">
        <v>-6.5777680000000005E-2</v>
      </c>
      <c r="BF26" s="32">
        <v>95.478589999999997</v>
      </c>
      <c r="BS26" s="32">
        <v>0.20479349586991738</v>
      </c>
    </row>
    <row r="27" spans="1:71" ht="45" x14ac:dyDescent="0.25">
      <c r="A27" s="32" t="s">
        <v>614</v>
      </c>
      <c r="B27" s="32" t="s">
        <v>614</v>
      </c>
      <c r="C27" s="32">
        <v>1</v>
      </c>
      <c r="D27" s="32">
        <v>2</v>
      </c>
      <c r="F27" s="32" t="s">
        <v>176</v>
      </c>
      <c r="G27" s="32">
        <v>964</v>
      </c>
      <c r="H27" s="32" t="s">
        <v>422</v>
      </c>
      <c r="I27" s="32" t="s">
        <v>102</v>
      </c>
      <c r="J27" s="32">
        <v>0.1075</v>
      </c>
      <c r="K27" s="32">
        <v>1.5529999999999999</v>
      </c>
      <c r="L27" s="32" t="s">
        <v>596</v>
      </c>
      <c r="M27" s="32">
        <v>3.39E-2</v>
      </c>
      <c r="N27" s="32">
        <v>0</v>
      </c>
      <c r="O27" s="32" t="s">
        <v>596</v>
      </c>
      <c r="P27" s="32" t="s">
        <v>596</v>
      </c>
      <c r="Q27" s="32">
        <v>7.8532000000000002</v>
      </c>
      <c r="R27" s="32">
        <v>1.4241999999999999</v>
      </c>
      <c r="S27" s="32">
        <v>0.53090000000000004</v>
      </c>
      <c r="T27" s="32">
        <v>4.3</v>
      </c>
      <c r="U27" s="32" t="s">
        <v>596</v>
      </c>
      <c r="V27" s="32">
        <v>1000</v>
      </c>
      <c r="W27" s="33" t="s">
        <v>14</v>
      </c>
      <c r="X27" s="33" t="s">
        <v>190</v>
      </c>
      <c r="Z27" s="33" t="s">
        <v>459</v>
      </c>
      <c r="AA27" s="32" t="s">
        <v>597</v>
      </c>
      <c r="AB27" s="31" t="s">
        <v>130</v>
      </c>
      <c r="AC27" s="32" t="s">
        <v>598</v>
      </c>
      <c r="AD27" s="32">
        <v>8.5229949999999999E-2</v>
      </c>
      <c r="AE27" s="32">
        <v>2.9329839999999998</v>
      </c>
      <c r="AF27" s="32">
        <v>12.06514</v>
      </c>
      <c r="AG27" s="32">
        <v>-11.94609</v>
      </c>
      <c r="AU27" s="32">
        <v>2.0926399999999998</v>
      </c>
      <c r="AV27" s="32">
        <v>3.020616</v>
      </c>
      <c r="BC27" s="32" t="s">
        <v>599</v>
      </c>
      <c r="BD27" s="32">
        <v>9.0900259999999997E-2</v>
      </c>
      <c r="BE27" s="32">
        <v>9.0900259999999997E-2</v>
      </c>
      <c r="BF27" s="32">
        <v>36.190539999999999</v>
      </c>
      <c r="BS27" s="32">
        <v>0.26646971935007385</v>
      </c>
    </row>
    <row r="28" spans="1:71" ht="45" x14ac:dyDescent="0.25">
      <c r="A28" s="32" t="s">
        <v>615</v>
      </c>
      <c r="B28" s="32" t="s">
        <v>615</v>
      </c>
      <c r="C28" s="32">
        <v>1</v>
      </c>
      <c r="D28" s="32">
        <v>3</v>
      </c>
      <c r="F28" s="32" t="s">
        <v>176</v>
      </c>
      <c r="G28" s="32">
        <v>964</v>
      </c>
      <c r="H28" s="32" t="s">
        <v>422</v>
      </c>
      <c r="I28" s="32" t="s">
        <v>102</v>
      </c>
      <c r="J28" s="32">
        <v>0.1075</v>
      </c>
      <c r="K28" s="32">
        <v>1.5529999999999999</v>
      </c>
      <c r="L28" s="32" t="s">
        <v>596</v>
      </c>
      <c r="M28" s="32">
        <v>3.39E-2</v>
      </c>
      <c r="N28" s="32">
        <v>0</v>
      </c>
      <c r="O28" s="32" t="s">
        <v>596</v>
      </c>
      <c r="P28" s="32" t="s">
        <v>596</v>
      </c>
      <c r="Q28" s="32">
        <v>7.8532000000000002</v>
      </c>
      <c r="R28" s="32">
        <v>1.4241999999999999</v>
      </c>
      <c r="S28" s="32">
        <v>0.53090000000000004</v>
      </c>
      <c r="T28" s="32">
        <v>4.3</v>
      </c>
      <c r="U28" s="32" t="s">
        <v>596</v>
      </c>
      <c r="V28" s="32">
        <v>1000</v>
      </c>
      <c r="W28" s="33" t="s">
        <v>14</v>
      </c>
      <c r="X28" s="33" t="s">
        <v>190</v>
      </c>
      <c r="Z28" s="33" t="s">
        <v>459</v>
      </c>
      <c r="AA28" s="32" t="s">
        <v>597</v>
      </c>
      <c r="AB28" s="31" t="s">
        <v>130</v>
      </c>
      <c r="AC28" s="32" t="s">
        <v>598</v>
      </c>
      <c r="AD28" s="32">
        <v>0.230296</v>
      </c>
      <c r="AE28" s="32">
        <v>2.088355</v>
      </c>
      <c r="AF28" s="32">
        <v>9.11172</v>
      </c>
      <c r="AG28" s="32">
        <v>-7.4776350000000003</v>
      </c>
      <c r="AU28" s="32">
        <v>2.3126500000000001</v>
      </c>
      <c r="AV28" s="32">
        <v>3.3628809999999998</v>
      </c>
      <c r="BC28" s="32" t="s">
        <v>599</v>
      </c>
      <c r="BD28" s="32">
        <v>0.20934539999999999</v>
      </c>
      <c r="BE28" s="32">
        <v>0.20934539999999999</v>
      </c>
      <c r="BF28" s="32">
        <v>58.759929999999997</v>
      </c>
      <c r="BS28" s="32">
        <v>0.2944850506799776</v>
      </c>
    </row>
    <row r="29" spans="1:71" ht="45" x14ac:dyDescent="0.25">
      <c r="A29" s="32" t="s">
        <v>616</v>
      </c>
      <c r="B29" s="32" t="s">
        <v>616</v>
      </c>
      <c r="C29" s="32">
        <v>1</v>
      </c>
      <c r="D29" s="32">
        <v>3</v>
      </c>
      <c r="F29" s="32" t="s">
        <v>176</v>
      </c>
      <c r="G29" s="32">
        <v>959</v>
      </c>
      <c r="H29" s="32" t="s">
        <v>422</v>
      </c>
      <c r="I29" s="32" t="s">
        <v>102</v>
      </c>
      <c r="J29" s="32">
        <v>0.1075</v>
      </c>
      <c r="K29" s="32">
        <v>1.5529999999999999</v>
      </c>
      <c r="L29" s="32" t="s">
        <v>596</v>
      </c>
      <c r="M29" s="32">
        <v>3.39E-2</v>
      </c>
      <c r="N29" s="32">
        <v>0</v>
      </c>
      <c r="O29" s="32" t="s">
        <v>596</v>
      </c>
      <c r="P29" s="32" t="s">
        <v>596</v>
      </c>
      <c r="Q29" s="32">
        <v>7.8532000000000002</v>
      </c>
      <c r="R29" s="32">
        <v>1.4241999999999999</v>
      </c>
      <c r="S29" s="32">
        <v>0.53090000000000004</v>
      </c>
      <c r="T29" s="32">
        <v>4.3</v>
      </c>
      <c r="U29" s="32" t="s">
        <v>596</v>
      </c>
      <c r="V29" s="32">
        <v>1000</v>
      </c>
      <c r="W29" s="33" t="s">
        <v>14</v>
      </c>
      <c r="X29" s="33" t="s">
        <v>190</v>
      </c>
      <c r="Z29" s="33" t="s">
        <v>459</v>
      </c>
      <c r="AA29" s="32" t="s">
        <v>597</v>
      </c>
      <c r="AB29" s="31" t="s">
        <v>130</v>
      </c>
      <c r="AC29" s="32" t="s">
        <v>598</v>
      </c>
      <c r="AD29" s="32">
        <v>0.31314589999999998</v>
      </c>
      <c r="AE29" s="32">
        <v>2.0818560000000002</v>
      </c>
      <c r="AF29" s="32">
        <v>9.1849640000000008</v>
      </c>
      <c r="AG29" s="32">
        <v>-7.343356</v>
      </c>
      <c r="AU29" s="32">
        <v>2.2900960000000001</v>
      </c>
      <c r="AV29" s="32">
        <v>3.3331309999999998</v>
      </c>
      <c r="BC29" s="32" t="s">
        <v>599</v>
      </c>
      <c r="BD29" s="32">
        <v>2.6573820000000001E-2</v>
      </c>
      <c r="BE29" s="32">
        <v>2.6573820000000001E-2</v>
      </c>
      <c r="BF29" s="32">
        <v>58.633879999999998</v>
      </c>
      <c r="BS29" s="32">
        <v>0.29161310039219684</v>
      </c>
    </row>
    <row r="30" spans="1:71" ht="45" x14ac:dyDescent="0.25">
      <c r="A30" s="32" t="s">
        <v>617</v>
      </c>
      <c r="B30" s="32" t="s">
        <v>617</v>
      </c>
      <c r="C30" s="32">
        <v>1</v>
      </c>
      <c r="D30" s="32">
        <v>4</v>
      </c>
      <c r="F30" s="32" t="s">
        <v>176</v>
      </c>
      <c r="G30" s="32">
        <v>964</v>
      </c>
      <c r="H30" s="32" t="s">
        <v>422</v>
      </c>
      <c r="I30" s="32" t="s">
        <v>102</v>
      </c>
      <c r="J30" s="32">
        <v>0.1075</v>
      </c>
      <c r="K30" s="32">
        <v>1.5529999999999999</v>
      </c>
      <c r="L30" s="32" t="s">
        <v>596</v>
      </c>
      <c r="M30" s="32">
        <v>3.39E-2</v>
      </c>
      <c r="N30" s="32">
        <v>0</v>
      </c>
      <c r="O30" s="32" t="s">
        <v>596</v>
      </c>
      <c r="P30" s="32" t="s">
        <v>596</v>
      </c>
      <c r="Q30" s="32">
        <v>7.8532000000000002</v>
      </c>
      <c r="R30" s="32">
        <v>1.4241999999999999</v>
      </c>
      <c r="S30" s="32">
        <v>0.53090000000000004</v>
      </c>
      <c r="T30" s="32">
        <v>4.3</v>
      </c>
      <c r="U30" s="32" t="s">
        <v>596</v>
      </c>
      <c r="V30" s="32">
        <v>1000</v>
      </c>
      <c r="W30" s="33" t="s">
        <v>14</v>
      </c>
      <c r="X30" s="33" t="s">
        <v>190</v>
      </c>
      <c r="Z30" s="33" t="s">
        <v>459</v>
      </c>
      <c r="AA30" s="32" t="s">
        <v>597</v>
      </c>
      <c r="AB30" s="31" t="s">
        <v>130</v>
      </c>
      <c r="AC30" s="32" t="s">
        <v>598</v>
      </c>
      <c r="AD30" s="32">
        <v>0.33460299999999998</v>
      </c>
      <c r="AE30" s="32">
        <v>1.7125520000000001</v>
      </c>
      <c r="AF30" s="32">
        <v>7.4572310000000002</v>
      </c>
      <c r="AG30" s="32">
        <v>-6.1902290000000004</v>
      </c>
      <c r="AU30" s="32">
        <v>2.1689509999999999</v>
      </c>
      <c r="AV30" s="32">
        <v>3.1467000000000001</v>
      </c>
      <c r="BC30" s="32" t="s">
        <v>599</v>
      </c>
      <c r="BD30" s="32">
        <v>9.8139299999999999E-2</v>
      </c>
      <c r="BE30" s="32">
        <v>9.8139299999999999E-2</v>
      </c>
      <c r="BF30" s="32">
        <v>71.491380000000007</v>
      </c>
      <c r="BS30" s="32">
        <v>0.27618690470126822</v>
      </c>
    </row>
    <row r="31" spans="1:71" ht="45" x14ac:dyDescent="0.25">
      <c r="A31" s="32" t="s">
        <v>618</v>
      </c>
      <c r="B31" s="32" t="s">
        <v>618</v>
      </c>
      <c r="C31" s="32">
        <v>1</v>
      </c>
      <c r="D31" s="32">
        <v>5</v>
      </c>
      <c r="F31" s="32" t="s">
        <v>176</v>
      </c>
      <c r="G31" s="32">
        <v>964</v>
      </c>
      <c r="H31" s="32" t="s">
        <v>422</v>
      </c>
      <c r="I31" s="32" t="s">
        <v>102</v>
      </c>
      <c r="J31" s="32">
        <v>0.1075</v>
      </c>
      <c r="K31" s="32">
        <v>1.5529999999999999</v>
      </c>
      <c r="L31" s="32" t="s">
        <v>596</v>
      </c>
      <c r="M31" s="32">
        <v>3.39E-2</v>
      </c>
      <c r="N31" s="32">
        <v>0</v>
      </c>
      <c r="O31" s="32" t="s">
        <v>596</v>
      </c>
      <c r="P31" s="32" t="s">
        <v>596</v>
      </c>
      <c r="Q31" s="32">
        <v>7.8532000000000002</v>
      </c>
      <c r="R31" s="32">
        <v>1.4241999999999999</v>
      </c>
      <c r="S31" s="32">
        <v>0.53090000000000004</v>
      </c>
      <c r="T31" s="32">
        <v>4.3</v>
      </c>
      <c r="U31" s="32" t="s">
        <v>596</v>
      </c>
      <c r="V31" s="32">
        <v>1000</v>
      </c>
      <c r="W31" s="33" t="s">
        <v>14</v>
      </c>
      <c r="X31" s="33" t="s">
        <v>190</v>
      </c>
      <c r="Z31" s="33" t="s">
        <v>459</v>
      </c>
      <c r="AA31" s="32" t="s">
        <v>597</v>
      </c>
      <c r="AB31" s="31" t="s">
        <v>130</v>
      </c>
      <c r="AC31" s="32" t="s">
        <v>598</v>
      </c>
      <c r="AD31" s="32">
        <v>0.43076510000000001</v>
      </c>
      <c r="AE31" s="32">
        <v>1.4592099999999999</v>
      </c>
      <c r="AF31" s="32">
        <v>6.5505050000000002</v>
      </c>
      <c r="AG31" s="32">
        <v>-5.1804519999999998</v>
      </c>
      <c r="AU31" s="32">
        <v>1.993455</v>
      </c>
      <c r="AV31" s="32">
        <v>2.8985050000000001</v>
      </c>
      <c r="BC31" s="32" t="s">
        <v>599</v>
      </c>
      <c r="BD31" s="32">
        <v>3.20837E-2</v>
      </c>
      <c r="BE31" s="32">
        <v>3.20837E-2</v>
      </c>
      <c r="BF31" s="32">
        <v>80.053730000000002</v>
      </c>
      <c r="BS31" s="32">
        <v>0.25383983599042426</v>
      </c>
    </row>
    <row r="32" spans="1:71" ht="45" x14ac:dyDescent="0.25">
      <c r="A32" s="32" t="s">
        <v>619</v>
      </c>
      <c r="B32" s="32" t="s">
        <v>619</v>
      </c>
      <c r="C32" s="32">
        <v>1</v>
      </c>
      <c r="D32" s="32">
        <v>15</v>
      </c>
      <c r="F32" s="32" t="s">
        <v>176</v>
      </c>
      <c r="G32" s="32">
        <v>964</v>
      </c>
      <c r="H32" s="32" t="s">
        <v>422</v>
      </c>
      <c r="I32" s="32" t="s">
        <v>102</v>
      </c>
      <c r="J32" s="32">
        <v>0.11409999999999999</v>
      </c>
      <c r="K32" s="32">
        <v>2.3664000000000001</v>
      </c>
      <c r="L32" s="32" t="s">
        <v>596</v>
      </c>
      <c r="M32" s="32">
        <v>1.7399999999999999E-2</v>
      </c>
      <c r="N32" s="32">
        <v>0</v>
      </c>
      <c r="O32" s="32" t="s">
        <v>596</v>
      </c>
      <c r="P32" s="32" t="s">
        <v>596</v>
      </c>
      <c r="Q32" s="32">
        <v>13.044</v>
      </c>
      <c r="R32" s="32">
        <v>2.0514999999999999</v>
      </c>
      <c r="S32" s="32">
        <v>0.50019999999999998</v>
      </c>
      <c r="T32" s="32">
        <v>4.3</v>
      </c>
      <c r="U32" s="32" t="s">
        <v>596</v>
      </c>
      <c r="V32" s="32">
        <v>1000</v>
      </c>
      <c r="W32" s="33" t="s">
        <v>14</v>
      </c>
      <c r="X32" s="33" t="s">
        <v>190</v>
      </c>
      <c r="Z32" s="33" t="s">
        <v>459</v>
      </c>
      <c r="AA32" s="32" t="s">
        <v>597</v>
      </c>
      <c r="AB32" s="31" t="s">
        <v>130</v>
      </c>
      <c r="AC32" s="32" t="s">
        <v>598</v>
      </c>
      <c r="AD32" s="32">
        <v>0.45983750000000001</v>
      </c>
      <c r="AE32" s="32">
        <v>1.7131510000000001</v>
      </c>
      <c r="AF32" s="32">
        <v>6.6258559999999997</v>
      </c>
      <c r="AG32" s="32">
        <v>-5.3614490000000004</v>
      </c>
      <c r="AU32" s="32">
        <v>2.7640319999999998</v>
      </c>
      <c r="AV32" s="32">
        <v>3.989843</v>
      </c>
      <c r="BC32" s="32" t="s">
        <v>599</v>
      </c>
      <c r="BD32" s="32">
        <v>-0.22187509999999999</v>
      </c>
      <c r="BE32" s="32">
        <v>-0.22187509999999999</v>
      </c>
      <c r="BF32" s="32">
        <v>120.66030000000001</v>
      </c>
      <c r="BS32" s="32">
        <v>0.21190064397424102</v>
      </c>
    </row>
    <row r="33" spans="1:71" ht="45" x14ac:dyDescent="0.25">
      <c r="A33" s="32" t="s">
        <v>620</v>
      </c>
      <c r="B33" s="32" t="s">
        <v>620</v>
      </c>
      <c r="C33" s="32">
        <v>1</v>
      </c>
      <c r="D33" s="32">
        <v>17</v>
      </c>
      <c r="F33" s="32" t="s">
        <v>176</v>
      </c>
      <c r="G33" s="32">
        <v>957</v>
      </c>
      <c r="H33" s="32" t="s">
        <v>422</v>
      </c>
      <c r="I33" s="32" t="s">
        <v>102</v>
      </c>
      <c r="J33" s="32">
        <v>0.11409999999999999</v>
      </c>
      <c r="K33" s="32">
        <v>2.3664000000000001</v>
      </c>
      <c r="L33" s="32" t="s">
        <v>596</v>
      </c>
      <c r="M33" s="32">
        <v>1.7399999999999999E-2</v>
      </c>
      <c r="N33" s="32">
        <v>0</v>
      </c>
      <c r="O33" s="32" t="s">
        <v>596</v>
      </c>
      <c r="P33" s="32" t="s">
        <v>596</v>
      </c>
      <c r="Q33" s="32">
        <v>13.044</v>
      </c>
      <c r="R33" s="32">
        <v>2.0514999999999999</v>
      </c>
      <c r="S33" s="32">
        <v>0.50019999999999998</v>
      </c>
      <c r="T33" s="32">
        <v>4.3</v>
      </c>
      <c r="U33" s="32" t="s">
        <v>596</v>
      </c>
      <c r="V33" s="32">
        <v>1000</v>
      </c>
      <c r="W33" s="33" t="s">
        <v>14</v>
      </c>
      <c r="X33" s="33" t="s">
        <v>190</v>
      </c>
      <c r="Z33" s="33" t="s">
        <v>459</v>
      </c>
      <c r="AA33" s="32" t="s">
        <v>597</v>
      </c>
      <c r="AB33" s="31" t="s">
        <v>130</v>
      </c>
      <c r="AC33" s="32" t="s">
        <v>598</v>
      </c>
      <c r="AD33" s="32">
        <v>0.1666668</v>
      </c>
      <c r="AE33" s="32">
        <v>1.6348529999999999</v>
      </c>
      <c r="AF33" s="32">
        <v>6.0586820000000001</v>
      </c>
      <c r="AG33" s="32">
        <v>-5.2328219999999996</v>
      </c>
      <c r="AU33" s="32">
        <v>2.7730600000000001</v>
      </c>
      <c r="AV33" s="32">
        <v>3.9739429999999998</v>
      </c>
      <c r="BC33" s="32" t="s">
        <v>599</v>
      </c>
      <c r="BD33" s="32">
        <v>1.431343</v>
      </c>
      <c r="BE33" s="32">
        <v>1.431343</v>
      </c>
      <c r="BF33" s="32">
        <v>132.1422</v>
      </c>
      <c r="BS33" s="32">
        <v>0.21259276295614843</v>
      </c>
    </row>
    <row r="34" spans="1:71" ht="45" x14ac:dyDescent="0.25">
      <c r="A34" s="32" t="s">
        <v>621</v>
      </c>
      <c r="B34" s="32" t="s">
        <v>621</v>
      </c>
      <c r="C34" s="32">
        <v>1</v>
      </c>
      <c r="D34" s="32">
        <v>18</v>
      </c>
      <c r="F34" s="32" t="s">
        <v>176</v>
      </c>
      <c r="G34" s="32">
        <v>964</v>
      </c>
      <c r="H34" s="32" t="s">
        <v>422</v>
      </c>
      <c r="I34" s="32" t="s">
        <v>102</v>
      </c>
      <c r="J34" s="32">
        <v>0.11409999999999999</v>
      </c>
      <c r="K34" s="32">
        <v>2.3664000000000001</v>
      </c>
      <c r="L34" s="32" t="s">
        <v>596</v>
      </c>
      <c r="M34" s="32">
        <v>1.7399999999999999E-2</v>
      </c>
      <c r="N34" s="32">
        <v>0</v>
      </c>
      <c r="O34" s="32" t="s">
        <v>596</v>
      </c>
      <c r="P34" s="32" t="s">
        <v>596</v>
      </c>
      <c r="Q34" s="32">
        <v>13.044</v>
      </c>
      <c r="R34" s="32">
        <v>2.0514999999999999</v>
      </c>
      <c r="S34" s="32">
        <v>0.50019999999999998</v>
      </c>
      <c r="T34" s="32">
        <v>4.3</v>
      </c>
      <c r="U34" s="32" t="s">
        <v>596</v>
      </c>
      <c r="V34" s="32">
        <v>1000</v>
      </c>
      <c r="W34" s="33" t="s">
        <v>14</v>
      </c>
      <c r="X34" s="33" t="s">
        <v>190</v>
      </c>
      <c r="Z34" s="33" t="s">
        <v>459</v>
      </c>
      <c r="AA34" s="32" t="s">
        <v>597</v>
      </c>
      <c r="AB34" s="31" t="s">
        <v>130</v>
      </c>
      <c r="AC34" s="32" t="s">
        <v>598</v>
      </c>
      <c r="AD34" s="32">
        <v>0.67070960000000002</v>
      </c>
      <c r="AE34" s="32">
        <v>1.5532919999999999</v>
      </c>
      <c r="AF34" s="32">
        <v>6.2602909999999996</v>
      </c>
      <c r="AG34" s="32">
        <v>-4.5551380000000004</v>
      </c>
      <c r="AU34" s="32">
        <v>2.7321170000000001</v>
      </c>
      <c r="AV34" s="32">
        <v>3.9102730000000001</v>
      </c>
      <c r="BC34" s="32" t="s">
        <v>599</v>
      </c>
      <c r="BD34" s="32">
        <v>-2.5680990000000001E-2</v>
      </c>
      <c r="BE34" s="32">
        <v>-2.5680990000000001E-2</v>
      </c>
      <c r="BF34" s="32">
        <v>134.94069999999999</v>
      </c>
      <c r="BS34" s="32">
        <v>0.20945392517632627</v>
      </c>
    </row>
    <row r="35" spans="1:71" ht="45" x14ac:dyDescent="0.25">
      <c r="A35" s="32" t="s">
        <v>622</v>
      </c>
      <c r="B35" s="32" t="s">
        <v>622</v>
      </c>
      <c r="C35" s="32">
        <v>1</v>
      </c>
      <c r="D35" s="32">
        <v>19</v>
      </c>
      <c r="F35" s="32" t="s">
        <v>176</v>
      </c>
      <c r="G35" s="32">
        <v>957</v>
      </c>
      <c r="H35" s="32" t="s">
        <v>422</v>
      </c>
      <c r="I35" s="32" t="s">
        <v>102</v>
      </c>
      <c r="J35" s="32">
        <v>0.11409999999999999</v>
      </c>
      <c r="K35" s="32">
        <v>2.3664000000000001</v>
      </c>
      <c r="L35" s="32" t="s">
        <v>596</v>
      </c>
      <c r="M35" s="32">
        <v>1.7399999999999999E-2</v>
      </c>
      <c r="N35" s="32">
        <v>0</v>
      </c>
      <c r="O35" s="32" t="s">
        <v>596</v>
      </c>
      <c r="P35" s="32" t="s">
        <v>596</v>
      </c>
      <c r="Q35" s="32">
        <v>13.044</v>
      </c>
      <c r="R35" s="32">
        <v>2.0514999999999999</v>
      </c>
      <c r="S35" s="32">
        <v>0.50019999999999998</v>
      </c>
      <c r="T35" s="32">
        <v>4.3</v>
      </c>
      <c r="U35" s="32" t="s">
        <v>596</v>
      </c>
      <c r="V35" s="32">
        <v>1000</v>
      </c>
      <c r="W35" s="33" t="s">
        <v>14</v>
      </c>
      <c r="X35" s="33" t="s">
        <v>190</v>
      </c>
      <c r="Z35" s="33" t="s">
        <v>459</v>
      </c>
      <c r="AA35" s="32" t="s">
        <v>597</v>
      </c>
      <c r="AB35" s="31" t="s">
        <v>130</v>
      </c>
      <c r="AC35" s="32" t="s">
        <v>598</v>
      </c>
      <c r="AD35" s="32">
        <v>0.6395362</v>
      </c>
      <c r="AE35" s="32">
        <v>1.489765</v>
      </c>
      <c r="AF35" s="32">
        <v>5.9703270000000002</v>
      </c>
      <c r="AG35" s="32">
        <v>-4.2469580000000002</v>
      </c>
      <c r="AU35" s="32">
        <v>2.7247129999999999</v>
      </c>
      <c r="AV35" s="32">
        <v>3.8593959999999998</v>
      </c>
      <c r="BC35" s="32" t="s">
        <v>599</v>
      </c>
      <c r="BD35" s="32">
        <v>8.2103880000000004E-2</v>
      </c>
      <c r="BE35" s="32">
        <v>8.2103880000000004E-2</v>
      </c>
      <c r="BF35" s="32">
        <v>140.68430000000001</v>
      </c>
      <c r="BS35" s="32">
        <v>0.20888630788101809</v>
      </c>
    </row>
    <row r="36" spans="1:71" ht="45" x14ac:dyDescent="0.25">
      <c r="A36" s="32" t="s">
        <v>623</v>
      </c>
      <c r="B36" s="32" t="s">
        <v>623</v>
      </c>
      <c r="C36" s="32">
        <v>1</v>
      </c>
      <c r="D36" s="32">
        <v>6</v>
      </c>
      <c r="F36" s="32" t="s">
        <v>176</v>
      </c>
      <c r="G36" s="32">
        <v>964</v>
      </c>
      <c r="H36" s="32" t="s">
        <v>422</v>
      </c>
      <c r="I36" s="32" t="s">
        <v>102</v>
      </c>
      <c r="J36" s="32">
        <v>0.13969999999999999</v>
      </c>
      <c r="K36" s="32">
        <v>1.9878</v>
      </c>
      <c r="L36" s="32" t="s">
        <v>596</v>
      </c>
      <c r="M36" s="32">
        <v>3.32E-2</v>
      </c>
      <c r="N36" s="32">
        <v>0</v>
      </c>
      <c r="O36" s="32" t="s">
        <v>596</v>
      </c>
      <c r="P36" s="32" t="s">
        <v>596</v>
      </c>
      <c r="Q36" s="32">
        <v>15.3545</v>
      </c>
      <c r="R36" s="32">
        <v>1.6426000000000001</v>
      </c>
      <c r="S36" s="32">
        <v>0.50729999999999997</v>
      </c>
      <c r="T36" s="32">
        <v>4.3</v>
      </c>
      <c r="U36" s="32" t="s">
        <v>596</v>
      </c>
      <c r="V36" s="32">
        <v>1000</v>
      </c>
      <c r="W36" s="33" t="s">
        <v>14</v>
      </c>
      <c r="X36" s="33" t="s">
        <v>190</v>
      </c>
      <c r="Z36" s="33" t="s">
        <v>459</v>
      </c>
      <c r="AA36" s="32" t="s">
        <v>597</v>
      </c>
      <c r="AB36" s="31" t="s">
        <v>130</v>
      </c>
      <c r="AC36" s="32" t="s">
        <v>598</v>
      </c>
      <c r="AD36" s="32">
        <v>0.75041219999999997</v>
      </c>
      <c r="AE36" s="32">
        <v>2.2070539999999998</v>
      </c>
      <c r="AF36" s="32">
        <v>9.2780210000000007</v>
      </c>
      <c r="AG36" s="32">
        <v>-7.3845770000000002</v>
      </c>
      <c r="AU36" s="32">
        <v>3.7251530000000002</v>
      </c>
      <c r="AV36" s="32">
        <v>5.385078</v>
      </c>
      <c r="BC36" s="32" t="s">
        <v>599</v>
      </c>
      <c r="BD36" s="32">
        <v>3.852365E-2</v>
      </c>
      <c r="BE36" s="32">
        <v>3.852365E-2</v>
      </c>
      <c r="BF36" s="32">
        <v>103.72880000000001</v>
      </c>
      <c r="BS36" s="32">
        <v>0.24260985378879157</v>
      </c>
    </row>
    <row r="37" spans="1:71" ht="45" x14ac:dyDescent="0.25">
      <c r="A37" s="32" t="s">
        <v>624</v>
      </c>
      <c r="B37" s="32" t="s">
        <v>624</v>
      </c>
      <c r="C37" s="32">
        <v>1</v>
      </c>
      <c r="D37" s="32">
        <v>9</v>
      </c>
      <c r="F37" s="32" t="s">
        <v>176</v>
      </c>
      <c r="G37" s="32">
        <v>964</v>
      </c>
      <c r="H37" s="32" t="s">
        <v>422</v>
      </c>
      <c r="I37" s="32" t="s">
        <v>102</v>
      </c>
      <c r="J37" s="32">
        <v>0.13969999999999999</v>
      </c>
      <c r="K37" s="32">
        <v>1.9878</v>
      </c>
      <c r="L37" s="32" t="s">
        <v>596</v>
      </c>
      <c r="M37" s="32">
        <v>3.32E-2</v>
      </c>
      <c r="N37" s="32">
        <v>0</v>
      </c>
      <c r="O37" s="32" t="s">
        <v>596</v>
      </c>
      <c r="P37" s="32" t="s">
        <v>596</v>
      </c>
      <c r="Q37" s="32">
        <v>15.3545</v>
      </c>
      <c r="R37" s="32">
        <v>1.6426000000000001</v>
      </c>
      <c r="S37" s="32">
        <v>0.50729999999999997</v>
      </c>
      <c r="T37" s="32">
        <v>4.3</v>
      </c>
      <c r="U37" s="32" t="s">
        <v>596</v>
      </c>
      <c r="V37" s="32">
        <v>1000</v>
      </c>
      <c r="W37" s="33" t="s">
        <v>14</v>
      </c>
      <c r="X37" s="33" t="s">
        <v>190</v>
      </c>
      <c r="Z37" s="33" t="s">
        <v>459</v>
      </c>
      <c r="AA37" s="32" t="s">
        <v>597</v>
      </c>
      <c r="AB37" s="31" t="s">
        <v>130</v>
      </c>
      <c r="AC37" s="32" t="s">
        <v>598</v>
      </c>
      <c r="AD37" s="32">
        <v>0.65946780000000005</v>
      </c>
      <c r="AE37" s="32">
        <v>1.987312</v>
      </c>
      <c r="AF37" s="32">
        <v>8.2384050000000002</v>
      </c>
      <c r="AG37" s="32">
        <v>-6.7030010000000004</v>
      </c>
      <c r="AU37" s="32">
        <v>3.5988660000000001</v>
      </c>
      <c r="AV37" s="32">
        <v>5.1666679999999996</v>
      </c>
      <c r="BC37" s="32" t="s">
        <v>599</v>
      </c>
      <c r="BD37" s="32">
        <v>-3.9135389999999999E-2</v>
      </c>
      <c r="BE37" s="32">
        <v>-3.9135389999999999E-2</v>
      </c>
      <c r="BF37" s="32">
        <v>113.8459</v>
      </c>
      <c r="BS37" s="32">
        <v>0.23438509883096162</v>
      </c>
    </row>
    <row r="38" spans="1:71" ht="45" x14ac:dyDescent="0.25">
      <c r="A38" s="32" t="s">
        <v>625</v>
      </c>
      <c r="B38" s="32" t="s">
        <v>625</v>
      </c>
      <c r="C38" s="32">
        <v>1</v>
      </c>
      <c r="D38" s="32">
        <v>9</v>
      </c>
      <c r="F38" s="32" t="s">
        <v>176</v>
      </c>
      <c r="G38" s="32">
        <v>964</v>
      </c>
      <c r="H38" s="32" t="s">
        <v>422</v>
      </c>
      <c r="I38" s="32" t="s">
        <v>102</v>
      </c>
      <c r="J38" s="32">
        <v>0.13969999999999999</v>
      </c>
      <c r="K38" s="32">
        <v>1.9878</v>
      </c>
      <c r="L38" s="32" t="s">
        <v>596</v>
      </c>
      <c r="M38" s="32">
        <v>3.32E-2</v>
      </c>
      <c r="N38" s="32">
        <v>0</v>
      </c>
      <c r="O38" s="32" t="s">
        <v>596</v>
      </c>
      <c r="P38" s="32" t="s">
        <v>596</v>
      </c>
      <c r="Q38" s="32">
        <v>15.3545</v>
      </c>
      <c r="R38" s="32">
        <v>1.6426000000000001</v>
      </c>
      <c r="S38" s="32">
        <v>0.50729999999999997</v>
      </c>
      <c r="T38" s="32">
        <v>4.3</v>
      </c>
      <c r="U38" s="32" t="s">
        <v>596</v>
      </c>
      <c r="V38" s="32">
        <v>1000</v>
      </c>
      <c r="W38" s="33" t="s">
        <v>14</v>
      </c>
      <c r="X38" s="33" t="s">
        <v>190</v>
      </c>
      <c r="Z38" s="33" t="s">
        <v>459</v>
      </c>
      <c r="AA38" s="32" t="s">
        <v>597</v>
      </c>
      <c r="AB38" s="31" t="s">
        <v>130</v>
      </c>
      <c r="AC38" s="32" t="s">
        <v>598</v>
      </c>
      <c r="AD38" s="32">
        <v>0.66735860000000002</v>
      </c>
      <c r="AE38" s="32">
        <v>1.9792149999999999</v>
      </c>
      <c r="AF38" s="32">
        <v>8.2033850000000008</v>
      </c>
      <c r="AG38" s="32">
        <v>-6.7136069999999997</v>
      </c>
      <c r="AU38" s="32">
        <v>3.561782</v>
      </c>
      <c r="AV38" s="32">
        <v>5.1350720000000001</v>
      </c>
      <c r="BC38" s="32" t="s">
        <v>599</v>
      </c>
      <c r="BD38" s="32">
        <v>-0.1187083</v>
      </c>
      <c r="BE38" s="32">
        <v>-0.1187083</v>
      </c>
      <c r="BF38" s="32">
        <v>112.517</v>
      </c>
      <c r="BS38" s="32">
        <v>0.23196991110098017</v>
      </c>
    </row>
    <row r="39" spans="1:71" ht="45" x14ac:dyDescent="0.25">
      <c r="A39" s="32" t="s">
        <v>626</v>
      </c>
      <c r="B39" s="32" t="s">
        <v>626</v>
      </c>
      <c r="C39" s="32">
        <v>1</v>
      </c>
      <c r="D39" s="32">
        <v>12</v>
      </c>
      <c r="F39" s="32" t="s">
        <v>176</v>
      </c>
      <c r="G39" s="32">
        <v>964</v>
      </c>
      <c r="H39" s="32" t="s">
        <v>422</v>
      </c>
      <c r="I39" s="32" t="s">
        <v>102</v>
      </c>
      <c r="J39" s="32">
        <v>0.13969999999999999</v>
      </c>
      <c r="K39" s="32">
        <v>1.9878</v>
      </c>
      <c r="L39" s="32" t="s">
        <v>596</v>
      </c>
      <c r="M39" s="32">
        <v>3.32E-2</v>
      </c>
      <c r="N39" s="32">
        <v>0</v>
      </c>
      <c r="O39" s="32" t="s">
        <v>596</v>
      </c>
      <c r="P39" s="32" t="s">
        <v>596</v>
      </c>
      <c r="Q39" s="32">
        <v>15.3545</v>
      </c>
      <c r="R39" s="32">
        <v>1.6426000000000001</v>
      </c>
      <c r="S39" s="32">
        <v>0.50729999999999997</v>
      </c>
      <c r="T39" s="32">
        <v>4.3</v>
      </c>
      <c r="U39" s="32" t="s">
        <v>596</v>
      </c>
      <c r="V39" s="32">
        <v>1000</v>
      </c>
      <c r="W39" s="33" t="s">
        <v>14</v>
      </c>
      <c r="X39" s="33" t="s">
        <v>190</v>
      </c>
      <c r="Z39" s="33" t="s">
        <v>459</v>
      </c>
      <c r="AA39" s="32" t="s">
        <v>597</v>
      </c>
      <c r="AB39" s="31" t="s">
        <v>130</v>
      </c>
      <c r="AC39" s="32" t="s">
        <v>598</v>
      </c>
      <c r="AD39" s="32">
        <v>0.4466387</v>
      </c>
      <c r="AE39" s="32">
        <v>1.7358420000000001</v>
      </c>
      <c r="AF39" s="32">
        <v>7.0150990000000002</v>
      </c>
      <c r="AG39" s="32">
        <v>-5.912147</v>
      </c>
      <c r="AU39" s="32">
        <v>3.3242729999999998</v>
      </c>
      <c r="AV39" s="32">
        <v>4.7633970000000003</v>
      </c>
      <c r="BC39" s="32" t="s">
        <v>599</v>
      </c>
      <c r="BD39" s="32">
        <v>-5.956769E-2</v>
      </c>
      <c r="BE39" s="32">
        <v>-5.956769E-2</v>
      </c>
      <c r="BF39" s="32">
        <v>121.77589999999999</v>
      </c>
      <c r="BS39" s="32">
        <v>0.21650154677781758</v>
      </c>
    </row>
    <row r="40" spans="1:71" ht="45" x14ac:dyDescent="0.25">
      <c r="A40" s="32" t="s">
        <v>627</v>
      </c>
      <c r="B40" s="32" t="s">
        <v>627</v>
      </c>
      <c r="C40" s="32">
        <v>1</v>
      </c>
      <c r="D40" s="32">
        <v>10</v>
      </c>
      <c r="F40" s="32" t="s">
        <v>176</v>
      </c>
      <c r="G40" s="32">
        <v>964</v>
      </c>
      <c r="H40" s="32" t="s">
        <v>422</v>
      </c>
      <c r="I40" s="32" t="s">
        <v>102</v>
      </c>
      <c r="J40" s="32">
        <v>0.14710000000000001</v>
      </c>
      <c r="K40" s="32">
        <v>2.6861999999999999</v>
      </c>
      <c r="L40" s="32" t="s">
        <v>596</v>
      </c>
      <c r="M40" s="32">
        <v>1.5699999999999999E-2</v>
      </c>
      <c r="N40" s="32">
        <v>0</v>
      </c>
      <c r="O40" s="32" t="s">
        <v>596</v>
      </c>
      <c r="P40" s="32" t="s">
        <v>596</v>
      </c>
      <c r="Q40" s="32">
        <v>27.0061</v>
      </c>
      <c r="R40" s="32">
        <v>2.4605000000000001</v>
      </c>
      <c r="S40" s="32">
        <v>0.48</v>
      </c>
      <c r="T40" s="32">
        <v>4.3</v>
      </c>
      <c r="U40" s="32" t="s">
        <v>596</v>
      </c>
      <c r="V40" s="32">
        <v>1000</v>
      </c>
      <c r="W40" s="33" t="s">
        <v>14</v>
      </c>
      <c r="X40" s="33" t="s">
        <v>190</v>
      </c>
      <c r="Z40" s="33" t="s">
        <v>459</v>
      </c>
      <c r="AA40" s="32" t="s">
        <v>597</v>
      </c>
      <c r="AB40" s="31" t="s">
        <v>130</v>
      </c>
      <c r="AC40" s="32" t="s">
        <v>598</v>
      </c>
      <c r="AD40" s="32">
        <v>0.39627079999999998</v>
      </c>
      <c r="AE40" s="32">
        <v>2.4956749999999999</v>
      </c>
      <c r="AF40" s="32">
        <v>9.8999760000000006</v>
      </c>
      <c r="AG40" s="32">
        <v>-7.8002200000000004</v>
      </c>
      <c r="AU40" s="32">
        <v>3.8428680000000002</v>
      </c>
      <c r="AV40" s="32">
        <v>5.5707129999999996</v>
      </c>
      <c r="BC40" s="32" t="s">
        <v>599</v>
      </c>
      <c r="BD40" s="32">
        <v>-3.8766630000000003E-2</v>
      </c>
      <c r="BE40" s="32">
        <v>-3.8766630000000003E-2</v>
      </c>
      <c r="BF40" s="32">
        <v>130.05699999999999</v>
      </c>
      <c r="BS40" s="32">
        <v>0.14229629602200985</v>
      </c>
    </row>
    <row r="41" spans="1:71" ht="45" x14ac:dyDescent="0.25">
      <c r="A41" s="32" t="s">
        <v>628</v>
      </c>
      <c r="B41" s="32" t="s">
        <v>628</v>
      </c>
      <c r="C41" s="32">
        <v>1</v>
      </c>
      <c r="D41" s="32">
        <v>13</v>
      </c>
      <c r="F41" s="32" t="s">
        <v>176</v>
      </c>
      <c r="G41" s="32">
        <v>964</v>
      </c>
      <c r="H41" s="32" t="s">
        <v>422</v>
      </c>
      <c r="I41" s="32" t="s">
        <v>102</v>
      </c>
      <c r="J41" s="32">
        <v>0.14710000000000001</v>
      </c>
      <c r="K41" s="32">
        <v>2.6861999999999999</v>
      </c>
      <c r="L41" s="32" t="s">
        <v>596</v>
      </c>
      <c r="M41" s="32">
        <v>1.5699999999999999E-2</v>
      </c>
      <c r="N41" s="32">
        <v>0</v>
      </c>
      <c r="O41" s="32" t="s">
        <v>596</v>
      </c>
      <c r="P41" s="32" t="s">
        <v>596</v>
      </c>
      <c r="Q41" s="32">
        <v>27.0061</v>
      </c>
      <c r="R41" s="32">
        <v>2.4605000000000001</v>
      </c>
      <c r="S41" s="32">
        <v>0.48</v>
      </c>
      <c r="T41" s="32">
        <v>4.3</v>
      </c>
      <c r="U41" s="32" t="s">
        <v>596</v>
      </c>
      <c r="V41" s="32">
        <v>1000</v>
      </c>
      <c r="W41" s="33" t="s">
        <v>14</v>
      </c>
      <c r="X41" s="33" t="s">
        <v>190</v>
      </c>
      <c r="Z41" s="33" t="s">
        <v>459</v>
      </c>
      <c r="AA41" s="32" t="s">
        <v>597</v>
      </c>
      <c r="AB41" s="31" t="s">
        <v>130</v>
      </c>
      <c r="AC41" s="32" t="s">
        <v>598</v>
      </c>
      <c r="AD41" s="32">
        <v>0.59680480000000002</v>
      </c>
      <c r="AE41" s="32">
        <v>2.2905120000000001</v>
      </c>
      <c r="AF41" s="32">
        <v>9.1569350000000007</v>
      </c>
      <c r="AG41" s="32">
        <v>-6.9807600000000001</v>
      </c>
      <c r="AU41" s="32">
        <v>3.948232</v>
      </c>
      <c r="AV41" s="32">
        <v>5.6905060000000001</v>
      </c>
      <c r="BC41" s="32" t="s">
        <v>599</v>
      </c>
      <c r="BD41" s="32">
        <v>-0.41628720000000002</v>
      </c>
      <c r="BE41" s="32">
        <v>-0.41628720000000002</v>
      </c>
      <c r="BF41" s="32">
        <v>148.3116</v>
      </c>
      <c r="BS41" s="32">
        <v>0.14619778494488281</v>
      </c>
    </row>
    <row r="42" spans="1:71" ht="45" x14ac:dyDescent="0.25">
      <c r="A42" s="32" t="s">
        <v>629</v>
      </c>
      <c r="B42" s="32" t="s">
        <v>629</v>
      </c>
      <c r="C42" s="32">
        <v>1</v>
      </c>
      <c r="D42" s="32">
        <v>19</v>
      </c>
      <c r="F42" s="32" t="s">
        <v>176</v>
      </c>
      <c r="G42" s="32">
        <v>964</v>
      </c>
      <c r="H42" s="32" t="s">
        <v>422</v>
      </c>
      <c r="I42" s="32" t="s">
        <v>102</v>
      </c>
      <c r="J42" s="32">
        <v>0.14710000000000001</v>
      </c>
      <c r="K42" s="32">
        <v>2.6861999999999999</v>
      </c>
      <c r="L42" s="32" t="s">
        <v>596</v>
      </c>
      <c r="M42" s="32">
        <v>1.5699999999999999E-2</v>
      </c>
      <c r="N42" s="32">
        <v>0</v>
      </c>
      <c r="O42" s="32" t="s">
        <v>596</v>
      </c>
      <c r="P42" s="32" t="s">
        <v>596</v>
      </c>
      <c r="Q42" s="32">
        <v>27.0061</v>
      </c>
      <c r="R42" s="32">
        <v>2.4605000000000001</v>
      </c>
      <c r="S42" s="32">
        <v>0.48</v>
      </c>
      <c r="T42" s="32">
        <v>4.3</v>
      </c>
      <c r="U42" s="32" t="s">
        <v>596</v>
      </c>
      <c r="V42" s="32">
        <v>1000</v>
      </c>
      <c r="W42" s="33" t="s">
        <v>14</v>
      </c>
      <c r="X42" s="33" t="s">
        <v>190</v>
      </c>
      <c r="Z42" s="33" t="s">
        <v>459</v>
      </c>
      <c r="AA42" s="32" t="s">
        <v>597</v>
      </c>
      <c r="AB42" s="31" t="s">
        <v>130</v>
      </c>
      <c r="AC42" s="32" t="s">
        <v>598</v>
      </c>
      <c r="AD42" s="32">
        <v>0.19761770000000001</v>
      </c>
      <c r="AE42" s="32">
        <v>2.1140310000000002</v>
      </c>
      <c r="AF42" s="32">
        <v>8.0864440000000002</v>
      </c>
      <c r="AG42" s="32">
        <v>-6.8915839999999999</v>
      </c>
      <c r="AU42" s="32">
        <v>3.9259189999999999</v>
      </c>
      <c r="AV42" s="32">
        <v>5.6085520000000004</v>
      </c>
      <c r="BC42" s="32" t="s">
        <v>599</v>
      </c>
      <c r="BD42" s="32">
        <v>-0.24567620000000001</v>
      </c>
      <c r="BE42" s="32">
        <v>-0.24567620000000001</v>
      </c>
      <c r="BF42" s="32">
        <v>158.15469999999999</v>
      </c>
      <c r="BS42" s="32">
        <v>0.14537156420216174</v>
      </c>
    </row>
    <row r="43" spans="1:71" ht="45" x14ac:dyDescent="0.25">
      <c r="A43" s="32" t="s">
        <v>630</v>
      </c>
      <c r="B43" s="32" t="s">
        <v>630</v>
      </c>
      <c r="C43" s="32">
        <v>1</v>
      </c>
      <c r="D43" s="32">
        <v>19</v>
      </c>
      <c r="F43" s="32" t="s">
        <v>176</v>
      </c>
      <c r="G43" s="32">
        <v>964</v>
      </c>
      <c r="H43" s="32" t="s">
        <v>422</v>
      </c>
      <c r="I43" s="32" t="s">
        <v>102</v>
      </c>
      <c r="J43" s="32">
        <v>0.14710000000000001</v>
      </c>
      <c r="K43" s="32">
        <v>2.6861999999999999</v>
      </c>
      <c r="L43" s="32" t="s">
        <v>596</v>
      </c>
      <c r="M43" s="32">
        <v>1.5699999999999999E-2</v>
      </c>
      <c r="N43" s="32">
        <v>0</v>
      </c>
      <c r="O43" s="32" t="s">
        <v>596</v>
      </c>
      <c r="P43" s="32" t="s">
        <v>596</v>
      </c>
      <c r="Q43" s="32">
        <v>27.0061</v>
      </c>
      <c r="R43" s="32">
        <v>2.4605000000000001</v>
      </c>
      <c r="S43" s="32">
        <v>0.48</v>
      </c>
      <c r="T43" s="32">
        <v>4.3</v>
      </c>
      <c r="U43" s="32" t="s">
        <v>596</v>
      </c>
      <c r="V43" s="32">
        <v>1000</v>
      </c>
      <c r="W43" s="33" t="s">
        <v>14</v>
      </c>
      <c r="X43" s="33" t="s">
        <v>190</v>
      </c>
      <c r="Z43" s="33" t="s">
        <v>459</v>
      </c>
      <c r="AA43" s="32" t="s">
        <v>597</v>
      </c>
      <c r="AB43" s="31" t="s">
        <v>130</v>
      </c>
      <c r="AC43" s="32" t="s">
        <v>598</v>
      </c>
      <c r="AD43" s="32">
        <v>0.5532937</v>
      </c>
      <c r="AE43" s="32">
        <v>1.9094580000000001</v>
      </c>
      <c r="AF43" s="32">
        <v>7.6629800000000001</v>
      </c>
      <c r="AG43" s="32">
        <v>-5.7281329999999997</v>
      </c>
      <c r="AU43" s="32">
        <v>3.8565100000000001</v>
      </c>
      <c r="AV43" s="32">
        <v>5.4434750000000003</v>
      </c>
      <c r="BC43" s="32" t="s">
        <v>599</v>
      </c>
      <c r="BD43" s="32">
        <v>-8.9168730000000002E-2</v>
      </c>
      <c r="BE43" s="32">
        <v>-8.9168730000000002E-2</v>
      </c>
      <c r="BF43" s="32">
        <v>166.86689999999999</v>
      </c>
      <c r="BS43" s="32">
        <v>0.142801441155887</v>
      </c>
    </row>
    <row r="44" spans="1:71" ht="45" x14ac:dyDescent="0.25">
      <c r="A44" s="32" t="s">
        <v>631</v>
      </c>
      <c r="B44" s="32" t="s">
        <v>631</v>
      </c>
      <c r="C44" s="32">
        <v>1</v>
      </c>
      <c r="D44" s="32">
        <v>4</v>
      </c>
      <c r="F44" s="32" t="s">
        <v>176</v>
      </c>
      <c r="G44" s="32">
        <v>964</v>
      </c>
      <c r="H44" s="32" t="s">
        <v>422</v>
      </c>
      <c r="I44" s="32" t="s">
        <v>102</v>
      </c>
      <c r="J44" s="32">
        <v>0.20780000000000001</v>
      </c>
      <c r="K44" s="32">
        <v>2.0706000000000002</v>
      </c>
      <c r="L44" s="32" t="s">
        <v>596</v>
      </c>
      <c r="M44" s="32">
        <v>3.9399999999999998E-2</v>
      </c>
      <c r="N44" s="32">
        <v>0</v>
      </c>
      <c r="O44" s="32" t="s">
        <v>596</v>
      </c>
      <c r="P44" s="32" t="s">
        <v>596</v>
      </c>
      <c r="Q44" s="32">
        <v>38.299300000000002</v>
      </c>
      <c r="R44" s="32">
        <v>1.8373999999999999</v>
      </c>
      <c r="S44" s="32">
        <v>0.47899999999999998</v>
      </c>
      <c r="T44" s="32">
        <v>4.3</v>
      </c>
      <c r="U44" s="32" t="s">
        <v>596</v>
      </c>
      <c r="V44" s="32">
        <v>1000</v>
      </c>
      <c r="W44" s="33" t="s">
        <v>14</v>
      </c>
      <c r="X44" s="33" t="s">
        <v>190</v>
      </c>
      <c r="Z44" s="33" t="s">
        <v>459</v>
      </c>
      <c r="AA44" s="32" t="s">
        <v>597</v>
      </c>
      <c r="AB44" s="31" t="s">
        <v>130</v>
      </c>
      <c r="AC44" s="32" t="s">
        <v>598</v>
      </c>
      <c r="AD44" s="32">
        <v>0.89432089999999997</v>
      </c>
      <c r="AE44" s="32">
        <v>4.2780570000000004</v>
      </c>
      <c r="AF44" s="32">
        <v>16.13936</v>
      </c>
      <c r="AG44" s="32">
        <v>-14.02422</v>
      </c>
      <c r="AU44" s="32">
        <v>8.4417500000000008</v>
      </c>
      <c r="AV44" s="32">
        <v>11.881930000000001</v>
      </c>
      <c r="BC44" s="32" t="s">
        <v>599</v>
      </c>
      <c r="BD44" s="32">
        <v>8.1494670000000005E-2</v>
      </c>
      <c r="BE44" s="32">
        <v>8.1494670000000005E-2</v>
      </c>
      <c r="BF44" s="32">
        <v>130.2765</v>
      </c>
      <c r="BS44" s="32">
        <v>0.22041525563130399</v>
      </c>
    </row>
    <row r="45" spans="1:71" ht="45" x14ac:dyDescent="0.25">
      <c r="A45" s="32" t="s">
        <v>632</v>
      </c>
      <c r="B45" s="32" t="s">
        <v>632</v>
      </c>
      <c r="C45" s="32">
        <v>1</v>
      </c>
      <c r="D45" s="32">
        <v>5</v>
      </c>
      <c r="F45" s="32" t="s">
        <v>176</v>
      </c>
      <c r="G45" s="32">
        <v>964</v>
      </c>
      <c r="H45" s="32" t="s">
        <v>422</v>
      </c>
      <c r="I45" s="32" t="s">
        <v>102</v>
      </c>
      <c r="J45" s="32">
        <v>0.20780000000000001</v>
      </c>
      <c r="K45" s="32">
        <v>2.0706000000000002</v>
      </c>
      <c r="L45" s="32" t="s">
        <v>596</v>
      </c>
      <c r="M45" s="32">
        <v>3.9399999999999998E-2</v>
      </c>
      <c r="N45" s="32">
        <v>0</v>
      </c>
      <c r="O45" s="32" t="s">
        <v>596</v>
      </c>
      <c r="P45" s="32" t="s">
        <v>596</v>
      </c>
      <c r="Q45" s="32">
        <v>38.299300000000002</v>
      </c>
      <c r="R45" s="32">
        <v>1.8373999999999999</v>
      </c>
      <c r="S45" s="32">
        <v>0.47899999999999998</v>
      </c>
      <c r="T45" s="32">
        <v>4.3</v>
      </c>
      <c r="U45" s="32" t="s">
        <v>596</v>
      </c>
      <c r="V45" s="32">
        <v>1000</v>
      </c>
      <c r="W45" s="33" t="s">
        <v>14</v>
      </c>
      <c r="X45" s="33" t="s">
        <v>190</v>
      </c>
      <c r="Z45" s="33" t="s">
        <v>459</v>
      </c>
      <c r="AA45" s="32" t="s">
        <v>597</v>
      </c>
      <c r="AB45" s="31" t="s">
        <v>130</v>
      </c>
      <c r="AC45" s="32" t="s">
        <v>598</v>
      </c>
      <c r="AD45" s="32">
        <v>0.99382309999999996</v>
      </c>
      <c r="AE45" s="32">
        <v>3.8222049999999999</v>
      </c>
      <c r="AF45" s="32">
        <v>14.681990000000001</v>
      </c>
      <c r="AG45" s="32">
        <v>-12.283340000000001</v>
      </c>
      <c r="AU45" s="32">
        <v>8.3892290000000003</v>
      </c>
      <c r="AV45" s="32">
        <v>11.69464</v>
      </c>
      <c r="BC45" s="32" t="s">
        <v>599</v>
      </c>
      <c r="BD45" s="32">
        <v>0.16548019999999999</v>
      </c>
      <c r="BE45" s="32">
        <v>0.16548019999999999</v>
      </c>
      <c r="BF45" s="32">
        <v>149.71549999999999</v>
      </c>
      <c r="BS45" s="32">
        <v>0.21904392508479267</v>
      </c>
    </row>
    <row r="46" spans="1:71" ht="45" x14ac:dyDescent="0.25">
      <c r="A46" s="32" t="s">
        <v>633</v>
      </c>
      <c r="B46" s="32" t="s">
        <v>633</v>
      </c>
      <c r="C46" s="32">
        <v>1</v>
      </c>
      <c r="D46" s="32">
        <v>12</v>
      </c>
      <c r="F46" s="32" t="s">
        <v>176</v>
      </c>
      <c r="G46" s="32">
        <v>964</v>
      </c>
      <c r="H46" s="32" t="s">
        <v>422</v>
      </c>
      <c r="I46" s="32" t="s">
        <v>102</v>
      </c>
      <c r="J46" s="32">
        <v>0.20780000000000001</v>
      </c>
      <c r="K46" s="32">
        <v>2.0706000000000002</v>
      </c>
      <c r="L46" s="32" t="s">
        <v>596</v>
      </c>
      <c r="M46" s="32">
        <v>3.9399999999999998E-2</v>
      </c>
      <c r="N46" s="32">
        <v>0</v>
      </c>
      <c r="O46" s="32" t="s">
        <v>596</v>
      </c>
      <c r="P46" s="32" t="s">
        <v>596</v>
      </c>
      <c r="Q46" s="32">
        <v>38.299300000000002</v>
      </c>
      <c r="R46" s="32">
        <v>1.8373999999999999</v>
      </c>
      <c r="S46" s="32">
        <v>0.47899999999999998</v>
      </c>
      <c r="T46" s="32">
        <v>4.3</v>
      </c>
      <c r="U46" s="32" t="s">
        <v>596</v>
      </c>
      <c r="V46" s="32">
        <v>1000</v>
      </c>
      <c r="W46" s="33" t="s">
        <v>14</v>
      </c>
      <c r="X46" s="33" t="s">
        <v>190</v>
      </c>
      <c r="Z46" s="33" t="s">
        <v>459</v>
      </c>
      <c r="AA46" s="32" t="s">
        <v>597</v>
      </c>
      <c r="AB46" s="31" t="s">
        <v>130</v>
      </c>
      <c r="AC46" s="32" t="s">
        <v>598</v>
      </c>
      <c r="AD46" s="32">
        <v>1.6268860000000001</v>
      </c>
      <c r="AE46" s="32">
        <v>2.9303669999999999</v>
      </c>
      <c r="AF46" s="32">
        <v>12.064859999999999</v>
      </c>
      <c r="AG46" s="32">
        <v>-7.9912939999999999</v>
      </c>
      <c r="AU46" s="32">
        <v>7.6809089999999998</v>
      </c>
      <c r="AV46" s="32">
        <v>10.36631</v>
      </c>
      <c r="BC46" s="32" t="s">
        <v>599</v>
      </c>
      <c r="BD46" s="32">
        <v>-0.24375820000000001</v>
      </c>
      <c r="BE46" s="32">
        <v>-0.24375820000000001</v>
      </c>
      <c r="BF46" s="32">
        <v>191.7662</v>
      </c>
      <c r="BS46" s="32">
        <v>0.2005495922901985</v>
      </c>
    </row>
    <row r="47" spans="1:71" ht="45" x14ac:dyDescent="0.25">
      <c r="A47" s="32" t="s">
        <v>634</v>
      </c>
      <c r="B47" s="32" t="s">
        <v>634</v>
      </c>
      <c r="C47" s="32">
        <v>1</v>
      </c>
      <c r="D47" s="32">
        <v>3</v>
      </c>
      <c r="F47" s="32" t="s">
        <v>176</v>
      </c>
      <c r="G47" s="32">
        <v>964</v>
      </c>
      <c r="H47" s="32" t="s">
        <v>424</v>
      </c>
      <c r="I47" s="32" t="s">
        <v>102</v>
      </c>
      <c r="J47" s="32">
        <v>0.1431</v>
      </c>
      <c r="K47" s="32">
        <v>1.9878</v>
      </c>
      <c r="L47" s="32" t="s">
        <v>596</v>
      </c>
      <c r="M47" s="32">
        <v>3.3500000000000002E-2</v>
      </c>
      <c r="N47" s="32">
        <v>0</v>
      </c>
      <c r="O47" s="32" t="s">
        <v>523</v>
      </c>
      <c r="P47" s="32">
        <v>10</v>
      </c>
      <c r="Q47" s="32">
        <v>16.154699999999998</v>
      </c>
      <c r="R47" s="32">
        <v>1.6534</v>
      </c>
      <c r="S47" s="32">
        <v>0.62560000000000004</v>
      </c>
      <c r="T47" s="32">
        <v>4.3</v>
      </c>
      <c r="U47" s="32" t="s">
        <v>596</v>
      </c>
      <c r="V47" s="32">
        <v>1000</v>
      </c>
      <c r="W47" s="33" t="s">
        <v>14</v>
      </c>
      <c r="X47" s="33" t="s">
        <v>190</v>
      </c>
      <c r="Z47" s="33" t="s">
        <v>459</v>
      </c>
      <c r="AA47" s="32" t="s">
        <v>597</v>
      </c>
      <c r="AB47" s="31" t="s">
        <v>130</v>
      </c>
      <c r="AC47" s="32" t="s">
        <v>598</v>
      </c>
      <c r="AD47" s="32">
        <v>0.46960629999999998</v>
      </c>
      <c r="AE47" s="32">
        <v>3.1289039999999999</v>
      </c>
      <c r="AF47" s="32">
        <v>11.846410000000001</v>
      </c>
      <c r="AG47" s="32">
        <v>-11.10281</v>
      </c>
      <c r="AU47" s="32">
        <v>4.0432490000000003</v>
      </c>
      <c r="AV47" s="32">
        <v>5.7897189999999998</v>
      </c>
      <c r="BC47" s="32" t="s">
        <v>599</v>
      </c>
      <c r="BD47" s="32">
        <v>-4.3416450000000002E-2</v>
      </c>
      <c r="BE47" s="32">
        <v>-4.3416450000000002E-2</v>
      </c>
      <c r="BF47" s="32">
        <v>71.511809999999997</v>
      </c>
      <c r="BS47" s="32">
        <v>0.25028313741511765</v>
      </c>
    </row>
    <row r="48" spans="1:71" ht="45" x14ac:dyDescent="0.25">
      <c r="A48" s="32" t="s">
        <v>635</v>
      </c>
      <c r="B48" s="32" t="s">
        <v>635</v>
      </c>
      <c r="C48" s="32">
        <v>1</v>
      </c>
      <c r="D48" s="32">
        <v>4</v>
      </c>
      <c r="F48" s="32" t="s">
        <v>176</v>
      </c>
      <c r="G48" s="32">
        <v>964</v>
      </c>
      <c r="H48" s="32" t="s">
        <v>424</v>
      </c>
      <c r="I48" s="32" t="s">
        <v>102</v>
      </c>
      <c r="J48" s="32">
        <v>0.1431</v>
      </c>
      <c r="K48" s="32">
        <v>1.9878</v>
      </c>
      <c r="L48" s="32" t="s">
        <v>596</v>
      </c>
      <c r="M48" s="32">
        <v>3.3500000000000002E-2</v>
      </c>
      <c r="N48" s="32">
        <v>0</v>
      </c>
      <c r="O48" s="32" t="s">
        <v>523</v>
      </c>
      <c r="P48" s="32">
        <v>10</v>
      </c>
      <c r="Q48" s="32">
        <v>16.154699999999998</v>
      </c>
      <c r="R48" s="32">
        <v>1.6534</v>
      </c>
      <c r="S48" s="32">
        <v>0.62560000000000004</v>
      </c>
      <c r="T48" s="32">
        <v>4.3</v>
      </c>
      <c r="U48" s="32" t="s">
        <v>596</v>
      </c>
      <c r="V48" s="32">
        <v>1000</v>
      </c>
      <c r="W48" s="33" t="s">
        <v>14</v>
      </c>
      <c r="X48" s="33" t="s">
        <v>190</v>
      </c>
      <c r="Z48" s="33" t="s">
        <v>459</v>
      </c>
      <c r="AA48" s="32" t="s">
        <v>597</v>
      </c>
      <c r="AB48" s="31" t="s">
        <v>130</v>
      </c>
      <c r="AC48" s="32" t="s">
        <v>598</v>
      </c>
      <c r="AD48" s="32">
        <v>0.71911950000000002</v>
      </c>
      <c r="AE48" s="32">
        <v>2.6811880000000001</v>
      </c>
      <c r="AF48" s="32">
        <v>10.75272</v>
      </c>
      <c r="AG48" s="32">
        <v>-9.3034289999999995</v>
      </c>
      <c r="AU48" s="32">
        <v>4.0916920000000001</v>
      </c>
      <c r="AV48" s="32">
        <v>5.8639229999999998</v>
      </c>
      <c r="BC48" s="32" t="s">
        <v>599</v>
      </c>
      <c r="BD48" s="32">
        <v>5.9758510000000001E-2</v>
      </c>
      <c r="BE48" s="32">
        <v>5.9758510000000001E-2</v>
      </c>
      <c r="BF48" s="32">
        <v>88.740380000000002</v>
      </c>
      <c r="BS48" s="32">
        <v>0.25328183129367926</v>
      </c>
    </row>
    <row r="49" spans="1:71" ht="45" x14ac:dyDescent="0.25">
      <c r="A49" s="32" t="s">
        <v>636</v>
      </c>
      <c r="B49" s="32" t="s">
        <v>636</v>
      </c>
      <c r="C49" s="32">
        <v>1</v>
      </c>
      <c r="D49" s="32">
        <v>6</v>
      </c>
      <c r="F49" s="32" t="s">
        <v>176</v>
      </c>
      <c r="G49" s="32">
        <v>964</v>
      </c>
      <c r="H49" s="32" t="s">
        <v>424</v>
      </c>
      <c r="I49" s="32" t="s">
        <v>102</v>
      </c>
      <c r="J49" s="32">
        <v>0.1431</v>
      </c>
      <c r="K49" s="32">
        <v>1.9878</v>
      </c>
      <c r="L49" s="32" t="s">
        <v>596</v>
      </c>
      <c r="M49" s="32">
        <v>3.3500000000000002E-2</v>
      </c>
      <c r="N49" s="32">
        <v>0</v>
      </c>
      <c r="O49" s="32" t="s">
        <v>523</v>
      </c>
      <c r="P49" s="32">
        <v>10</v>
      </c>
      <c r="Q49" s="32">
        <v>16.154699999999998</v>
      </c>
      <c r="R49" s="32">
        <v>1.6534</v>
      </c>
      <c r="S49" s="32">
        <v>0.62560000000000004</v>
      </c>
      <c r="T49" s="32">
        <v>4.3</v>
      </c>
      <c r="U49" s="32" t="s">
        <v>596</v>
      </c>
      <c r="V49" s="32">
        <v>1000</v>
      </c>
      <c r="W49" s="33" t="s">
        <v>14</v>
      </c>
      <c r="X49" s="33" t="s">
        <v>190</v>
      </c>
      <c r="Z49" s="33" t="s">
        <v>459</v>
      </c>
      <c r="AA49" s="32" t="s">
        <v>597</v>
      </c>
      <c r="AB49" s="31" t="s">
        <v>130</v>
      </c>
      <c r="AC49" s="32" t="s">
        <v>598</v>
      </c>
      <c r="AD49" s="32">
        <v>0.64561800000000003</v>
      </c>
      <c r="AE49" s="32">
        <v>2.2556440000000002</v>
      </c>
      <c r="AF49" s="32">
        <v>8.9854489999999991</v>
      </c>
      <c r="AG49" s="32">
        <v>-7.7992189999999999</v>
      </c>
      <c r="AU49" s="32">
        <v>3.9113359999999999</v>
      </c>
      <c r="AV49" s="32">
        <v>5.5835720000000002</v>
      </c>
      <c r="BC49" s="32" t="s">
        <v>599</v>
      </c>
      <c r="BD49" s="32">
        <v>3.969345E-3</v>
      </c>
      <c r="BE49" s="32">
        <v>3.969345E-3</v>
      </c>
      <c r="BF49" s="32">
        <v>105.4443</v>
      </c>
      <c r="BS49" s="32">
        <v>0.2421175261688549</v>
      </c>
    </row>
    <row r="50" spans="1:71" ht="45" x14ac:dyDescent="0.25">
      <c r="A50" s="32" t="s">
        <v>637</v>
      </c>
      <c r="B50" s="32" t="s">
        <v>637</v>
      </c>
      <c r="C50" s="32">
        <v>1</v>
      </c>
      <c r="D50" s="32">
        <v>7</v>
      </c>
      <c r="F50" s="32" t="s">
        <v>176</v>
      </c>
      <c r="G50" s="32">
        <v>964</v>
      </c>
      <c r="H50" s="32" t="s">
        <v>426</v>
      </c>
      <c r="I50" s="32" t="s">
        <v>103</v>
      </c>
      <c r="J50" s="32">
        <v>0.112</v>
      </c>
      <c r="K50" s="32">
        <v>3.3130000000000002</v>
      </c>
      <c r="L50" s="32" t="s">
        <v>596</v>
      </c>
      <c r="M50" s="32">
        <v>1.1900000000000001E-2</v>
      </c>
      <c r="N50" s="32">
        <v>0</v>
      </c>
      <c r="O50" s="32" t="s">
        <v>524</v>
      </c>
      <c r="P50" s="32" t="s">
        <v>596</v>
      </c>
      <c r="Q50" s="32">
        <v>16.121300000000002</v>
      </c>
      <c r="R50" s="32">
        <v>2.4655</v>
      </c>
      <c r="S50" s="32">
        <v>0.57299999999999995</v>
      </c>
      <c r="T50" s="32">
        <v>4.3</v>
      </c>
      <c r="U50" s="32" t="s">
        <v>596</v>
      </c>
      <c r="V50" s="32">
        <v>1000</v>
      </c>
      <c r="W50" s="33" t="s">
        <v>14</v>
      </c>
      <c r="X50" s="33" t="s">
        <v>190</v>
      </c>
      <c r="Z50" s="33" t="s">
        <v>459</v>
      </c>
      <c r="AA50" s="32" t="s">
        <v>597</v>
      </c>
      <c r="AB50" s="31" t="s">
        <v>130</v>
      </c>
      <c r="AC50" s="32" t="s">
        <v>598</v>
      </c>
      <c r="AD50" s="32">
        <v>0.42598469999999999</v>
      </c>
      <c r="AE50" s="32">
        <v>1.590409</v>
      </c>
      <c r="AF50" s="32">
        <v>6.5367949999999997</v>
      </c>
      <c r="AG50" s="32">
        <v>-4.9622279999999996</v>
      </c>
      <c r="AU50" s="32">
        <v>1.4499899999999999</v>
      </c>
      <c r="AV50" s="32">
        <v>2.0245320000000002</v>
      </c>
      <c r="BC50" s="32" t="s">
        <v>599</v>
      </c>
      <c r="BD50" s="32">
        <v>1.085795E-2</v>
      </c>
      <c r="BE50" s="32">
        <v>1.085795E-2</v>
      </c>
      <c r="BF50" s="32">
        <v>67.431780000000003</v>
      </c>
      <c r="BS50" s="32">
        <v>8.994249843374913E-2</v>
      </c>
    </row>
    <row r="51" spans="1:71" ht="45" x14ac:dyDescent="0.25">
      <c r="A51" s="32" t="s">
        <v>638</v>
      </c>
      <c r="B51" s="32" t="s">
        <v>638</v>
      </c>
      <c r="C51" s="32">
        <v>1</v>
      </c>
      <c r="D51" s="32">
        <v>15</v>
      </c>
      <c r="F51" s="32" t="s">
        <v>176</v>
      </c>
      <c r="G51" s="32">
        <v>964</v>
      </c>
      <c r="H51" s="32" t="s">
        <v>426</v>
      </c>
      <c r="I51" s="32" t="s">
        <v>103</v>
      </c>
      <c r="J51" s="32">
        <v>0.112</v>
      </c>
      <c r="K51" s="32">
        <v>3.3130000000000002</v>
      </c>
      <c r="L51" s="32" t="s">
        <v>596</v>
      </c>
      <c r="M51" s="32">
        <v>1.1900000000000001E-2</v>
      </c>
      <c r="N51" s="32">
        <v>0</v>
      </c>
      <c r="O51" s="32" t="s">
        <v>524</v>
      </c>
      <c r="P51" s="32" t="s">
        <v>596</v>
      </c>
      <c r="Q51" s="32">
        <v>16.121300000000002</v>
      </c>
      <c r="R51" s="32">
        <v>2.4655</v>
      </c>
      <c r="S51" s="32">
        <v>0.57299999999999995</v>
      </c>
      <c r="T51" s="32">
        <v>4.3</v>
      </c>
      <c r="U51" s="32" t="s">
        <v>596</v>
      </c>
      <c r="V51" s="32">
        <v>1000</v>
      </c>
      <c r="W51" s="33" t="s">
        <v>14</v>
      </c>
      <c r="X51" s="33" t="s">
        <v>190</v>
      </c>
      <c r="Z51" s="33" t="s">
        <v>459</v>
      </c>
      <c r="AA51" s="32" t="s">
        <v>597</v>
      </c>
      <c r="AB51" s="31" t="s">
        <v>130</v>
      </c>
      <c r="AC51" s="32" t="s">
        <v>598</v>
      </c>
      <c r="AD51" s="32">
        <v>0.49827860000000002</v>
      </c>
      <c r="AE51" s="32">
        <v>1.7576700000000001</v>
      </c>
      <c r="AF51" s="32">
        <v>7.1424839999999996</v>
      </c>
      <c r="AG51" s="32">
        <v>-5.7725549999999997</v>
      </c>
      <c r="AU51" s="32">
        <v>1.4702</v>
      </c>
      <c r="AV51" s="32">
        <v>2.045172</v>
      </c>
      <c r="BC51" s="32" t="s">
        <v>599</v>
      </c>
      <c r="BD51" s="32">
        <v>0.1085086</v>
      </c>
      <c r="BE51" s="32">
        <v>0.1085086</v>
      </c>
      <c r="BF51" s="32">
        <v>58.897120000000001</v>
      </c>
      <c r="BS51" s="32">
        <v>9.1196119419649765E-2</v>
      </c>
    </row>
    <row r="52" spans="1:71" ht="45" x14ac:dyDescent="0.25">
      <c r="A52" s="32" t="s">
        <v>639</v>
      </c>
      <c r="B52" s="32" t="s">
        <v>639</v>
      </c>
      <c r="C52" s="32">
        <v>1</v>
      </c>
      <c r="D52" s="32">
        <v>15</v>
      </c>
      <c r="F52" s="32" t="s">
        <v>176</v>
      </c>
      <c r="G52" s="32">
        <v>964</v>
      </c>
      <c r="H52" s="32" t="s">
        <v>426</v>
      </c>
      <c r="I52" s="32" t="s">
        <v>103</v>
      </c>
      <c r="J52" s="32">
        <v>0.112</v>
      </c>
      <c r="K52" s="32">
        <v>3.3130000000000002</v>
      </c>
      <c r="L52" s="32" t="s">
        <v>596</v>
      </c>
      <c r="M52" s="32">
        <v>1.1900000000000001E-2</v>
      </c>
      <c r="N52" s="32">
        <v>0</v>
      </c>
      <c r="O52" s="32" t="s">
        <v>524</v>
      </c>
      <c r="P52" s="32" t="s">
        <v>596</v>
      </c>
      <c r="Q52" s="32">
        <v>16.121300000000002</v>
      </c>
      <c r="R52" s="32">
        <v>2.4655</v>
      </c>
      <c r="S52" s="32">
        <v>0.57299999999999995</v>
      </c>
      <c r="T52" s="32">
        <v>4.3</v>
      </c>
      <c r="U52" s="32" t="s">
        <v>596</v>
      </c>
      <c r="V52" s="32">
        <v>1000</v>
      </c>
      <c r="W52" s="33" t="s">
        <v>14</v>
      </c>
      <c r="X52" s="33" t="s">
        <v>190</v>
      </c>
      <c r="Z52" s="33" t="s">
        <v>459</v>
      </c>
      <c r="AA52" s="32" t="s">
        <v>597</v>
      </c>
      <c r="AB52" s="31" t="s">
        <v>130</v>
      </c>
      <c r="AC52" s="32" t="s">
        <v>598</v>
      </c>
      <c r="AD52" s="32">
        <v>0.58390790000000004</v>
      </c>
      <c r="AE52" s="32">
        <v>1.269118</v>
      </c>
      <c r="AF52" s="32">
        <v>5.1058250000000003</v>
      </c>
      <c r="AG52" s="32">
        <v>-3.2437839999999998</v>
      </c>
      <c r="AU52" s="32">
        <v>1.37079</v>
      </c>
      <c r="AV52" s="32">
        <v>1.936644</v>
      </c>
      <c r="BC52" s="32" t="s">
        <v>599</v>
      </c>
      <c r="BD52" s="32">
        <v>7.1988640000000007E-2</v>
      </c>
      <c r="BE52" s="32">
        <v>7.1988640000000007E-2</v>
      </c>
      <c r="BF52" s="32">
        <v>92.943430000000006</v>
      </c>
      <c r="BS52" s="32">
        <v>8.5029743258918308E-2</v>
      </c>
    </row>
    <row r="53" spans="1:71" ht="45" x14ac:dyDescent="0.25">
      <c r="A53" s="32" t="str">
        <f>hyd_data!J4</f>
        <v>2018-01-31-10:54:91-04</v>
      </c>
      <c r="B53" s="32" t="str">
        <f>hyd_data!J4</f>
        <v>2018-01-31-10:54:91-04</v>
      </c>
      <c r="C53" s="32">
        <v>1</v>
      </c>
      <c r="D53" s="32">
        <f>hyd_data!Y4</f>
        <v>22</v>
      </c>
      <c r="F53" s="32" t="str">
        <f>hyd_data!Z4</f>
        <v>Power Performance</v>
      </c>
      <c r="G53" s="32">
        <f>hyd_data!M4</f>
        <v>964</v>
      </c>
      <c r="H53" s="32" t="str">
        <f>hyd_data!AA4</f>
        <v>polychromatic long-crested head-on</v>
      </c>
      <c r="I53" s="32" t="str">
        <f>hyd_data!AB4</f>
        <v>Bretschneider Spectrum</v>
      </c>
      <c r="J53" s="32">
        <f>hyd_data!AC4</f>
        <v>8.0299999999999996E-2</v>
      </c>
      <c r="K53" s="32">
        <f>hyd_data!AD4</f>
        <v>1.9878</v>
      </c>
      <c r="L53" s="32" t="str">
        <f>hyd_data!AE4</f>
        <v xml:space="preserve"> </v>
      </c>
      <c r="M53" s="32">
        <f>hyd_data!AF4</f>
        <v>1.9400000000000001E-2</v>
      </c>
      <c r="N53" s="32">
        <f>hyd_data!AG4</f>
        <v>0</v>
      </c>
      <c r="O53" s="32" t="str">
        <f>hyd_data!AH4</f>
        <v xml:space="preserve"> </v>
      </c>
      <c r="P53" s="32" t="str">
        <f>hyd_data!AI4</f>
        <v xml:space="preserve"> </v>
      </c>
      <c r="Q53" s="32">
        <f>hyd_data!AJ4</f>
        <v>4.9999000000000002</v>
      </c>
      <c r="R53" s="32">
        <f>hyd_data!AK4</f>
        <v>1.6289</v>
      </c>
      <c r="S53" s="32">
        <f>hyd_data!AL4</f>
        <v>0.78220000000000001</v>
      </c>
      <c r="T53" s="32">
        <v>4.3</v>
      </c>
      <c r="U53" s="32" t="str">
        <f>hyd_data!AN4</f>
        <v xml:space="preserve"> </v>
      </c>
      <c r="V53" s="32">
        <f>hyd_data!AO4</f>
        <v>1000</v>
      </c>
      <c r="W53" s="33" t="s">
        <v>14</v>
      </c>
      <c r="X53" s="33" t="s">
        <v>190</v>
      </c>
      <c r="Z53" s="33" t="s">
        <v>459</v>
      </c>
      <c r="AA53" s="32" t="s">
        <v>597</v>
      </c>
      <c r="AB53" s="152" t="s">
        <v>34</v>
      </c>
      <c r="AC53" s="32" t="s">
        <v>598</v>
      </c>
      <c r="AD53" s="32">
        <f>hyd_data!P4</f>
        <v>6.5083680000000005E-2</v>
      </c>
      <c r="AE53" s="32">
        <f>hyd_data!Q4</f>
        <v>2.2304560000000002</v>
      </c>
      <c r="AF53" s="32">
        <f>hyd_data!S4</f>
        <v>13.067970000000001</v>
      </c>
      <c r="AG53" s="32">
        <f>hyd_data!R4</f>
        <v>-9.8446269999999991</v>
      </c>
      <c r="AU53" s="32">
        <f>hyd_data!N4</f>
        <v>1.202801</v>
      </c>
      <c r="AV53" s="32">
        <f>hyd_data!O4</f>
        <v>1.912984</v>
      </c>
      <c r="BA53" s="32">
        <f>hyd_data!W4</f>
        <v>1.202801</v>
      </c>
      <c r="BB53" s="32">
        <f>hyd_data!X4</f>
        <v>0.58168569999999997</v>
      </c>
      <c r="BC53" s="32" t="s">
        <v>599</v>
      </c>
      <c r="BD53" s="32">
        <f>hyd_data!T4</f>
        <v>0.1898347</v>
      </c>
      <c r="BE53" s="32">
        <f>hyd_data!U4</f>
        <v>0.1898347</v>
      </c>
      <c r="BF53" s="32">
        <f>hyd_data!V4</f>
        <v>39.406329999999997</v>
      </c>
      <c r="BS53" s="32">
        <f>BA53/Q53</f>
        <v>0.24056501130022601</v>
      </c>
    </row>
    <row r="54" spans="1:71" ht="45" x14ac:dyDescent="0.25">
      <c r="A54" s="32" t="str">
        <f>hyd_data!J5</f>
        <v>2018-01-31-11:11:57-04</v>
      </c>
      <c r="B54" s="32" t="str">
        <f>hyd_data!J5</f>
        <v>2018-01-31-11:11:57-04</v>
      </c>
      <c r="C54" s="32">
        <v>1</v>
      </c>
      <c r="D54" s="32">
        <f>hyd_data!Y5</f>
        <v>21</v>
      </c>
      <c r="F54" s="32" t="str">
        <f>hyd_data!Z5</f>
        <v>Power Performance</v>
      </c>
      <c r="G54" s="32">
        <f>hyd_data!M5</f>
        <v>960</v>
      </c>
      <c r="H54" s="32" t="str">
        <f>hyd_data!AA5</f>
        <v>polychromatic long-crested head-on</v>
      </c>
      <c r="I54" s="32" t="str">
        <f>hyd_data!AB5</f>
        <v>Bretschneider Spectrum</v>
      </c>
      <c r="J54" s="32">
        <f>hyd_data!AC5</f>
        <v>0.1075</v>
      </c>
      <c r="K54" s="32">
        <f>hyd_data!AD5</f>
        <v>1.5529999999999999</v>
      </c>
      <c r="L54" s="32" t="str">
        <f>hyd_data!AE5</f>
        <v xml:space="preserve"> </v>
      </c>
      <c r="M54" s="32">
        <f>hyd_data!AF5</f>
        <v>3.39E-2</v>
      </c>
      <c r="N54" s="32">
        <f>hyd_data!AG5</f>
        <v>0</v>
      </c>
      <c r="O54" s="32" t="str">
        <f>hyd_data!AH5</f>
        <v xml:space="preserve"> </v>
      </c>
      <c r="P54" s="32" t="str">
        <f>hyd_data!AI5</f>
        <v xml:space="preserve"> </v>
      </c>
      <c r="Q54" s="32">
        <f>hyd_data!AJ5</f>
        <v>7.8532000000000002</v>
      </c>
      <c r="R54" s="32">
        <f>hyd_data!AK5</f>
        <v>1.4241999999999999</v>
      </c>
      <c r="S54" s="32">
        <f>hyd_data!AL5</f>
        <v>0.53090000000000004</v>
      </c>
      <c r="T54" s="32">
        <v>5.3</v>
      </c>
      <c r="U54" s="32" t="str">
        <f>hyd_data!AN5</f>
        <v xml:space="preserve"> </v>
      </c>
      <c r="V54" s="32">
        <f>hyd_data!AO5</f>
        <v>1000</v>
      </c>
      <c r="W54" s="33" t="s">
        <v>14</v>
      </c>
      <c r="X54" s="33" t="s">
        <v>190</v>
      </c>
      <c r="Z54" s="33" t="s">
        <v>459</v>
      </c>
      <c r="AA54" s="32" t="s">
        <v>597</v>
      </c>
      <c r="AB54" s="152" t="s">
        <v>34</v>
      </c>
      <c r="AC54" s="32" t="s">
        <v>598</v>
      </c>
      <c r="AD54" s="32">
        <f>hyd_data!P5</f>
        <v>0.30081659999999999</v>
      </c>
      <c r="AE54" s="32">
        <f>hyd_data!Q5</f>
        <v>2.8368199999999999</v>
      </c>
      <c r="AF54" s="32">
        <f>hyd_data!S5</f>
        <v>13.35037</v>
      </c>
      <c r="AG54" s="32">
        <f>hyd_data!R5</f>
        <v>-13.578340000000001</v>
      </c>
      <c r="AU54" s="32">
        <f>hyd_data!N5</f>
        <v>2.2908759999999999</v>
      </c>
      <c r="AV54" s="32">
        <f>hyd_data!O5</f>
        <v>3.267258</v>
      </c>
      <c r="BA54" s="32">
        <f>hyd_data!W5</f>
        <v>2.2908759999999999</v>
      </c>
      <c r="BB54" s="32">
        <f>hyd_data!X5</f>
        <v>1.043004</v>
      </c>
      <c r="BC54" s="32" t="s">
        <v>599</v>
      </c>
      <c r="BD54" s="32">
        <f>hyd_data!T5</f>
        <v>0.24242</v>
      </c>
      <c r="BE54" s="32">
        <f>hyd_data!U5</f>
        <v>0.24242</v>
      </c>
      <c r="BF54" s="32">
        <f>hyd_data!V5</f>
        <v>51.526499999999999</v>
      </c>
      <c r="BS54" s="32">
        <f t="shared" ref="BS54:BS64" si="0">BA54/Q54</f>
        <v>0.29171242296134059</v>
      </c>
    </row>
    <row r="55" spans="1:71" ht="45" x14ac:dyDescent="0.25">
      <c r="A55" s="32" t="str">
        <f>hyd_data!J6</f>
        <v>2018-01-31-11:31:55-04</v>
      </c>
      <c r="B55" s="32" t="str">
        <f>hyd_data!J6</f>
        <v>2018-01-31-11:31:55-04</v>
      </c>
      <c r="C55" s="32">
        <v>1</v>
      </c>
      <c r="D55" s="32">
        <f>hyd_data!Y6</f>
        <v>24</v>
      </c>
      <c r="F55" s="32" t="str">
        <f>hyd_data!Z6</f>
        <v>Power Performance</v>
      </c>
      <c r="G55" s="32">
        <f>hyd_data!M6</f>
        <v>964</v>
      </c>
      <c r="H55" s="32" t="str">
        <f>hyd_data!AA6</f>
        <v>polychromatic long-crested head-on</v>
      </c>
      <c r="I55" s="32" t="str">
        <f>hyd_data!AB6</f>
        <v>Bretschneider Spectrum</v>
      </c>
      <c r="J55" s="32">
        <f>hyd_data!AC6</f>
        <v>0.11409999999999999</v>
      </c>
      <c r="K55" s="32">
        <f>hyd_data!AD6</f>
        <v>2.3664000000000001</v>
      </c>
      <c r="L55" s="32" t="str">
        <f>hyd_data!AE6</f>
        <v xml:space="preserve"> </v>
      </c>
      <c r="M55" s="32">
        <f>hyd_data!AF6</f>
        <v>1.7399999999999999E-2</v>
      </c>
      <c r="N55" s="32">
        <f>hyd_data!AG6</f>
        <v>0</v>
      </c>
      <c r="O55" s="32" t="str">
        <f>hyd_data!AH6</f>
        <v xml:space="preserve"> </v>
      </c>
      <c r="P55" s="32" t="str">
        <f>hyd_data!AI6</f>
        <v xml:space="preserve"> </v>
      </c>
      <c r="Q55" s="32">
        <f>hyd_data!AJ6</f>
        <v>13.044</v>
      </c>
      <c r="R55" s="32">
        <f>hyd_data!AK6</f>
        <v>2.0514999999999999</v>
      </c>
      <c r="S55" s="32">
        <f>hyd_data!AL6</f>
        <v>0.50019999999999998</v>
      </c>
      <c r="T55" s="32">
        <v>6.3</v>
      </c>
      <c r="U55" s="32" t="str">
        <f>hyd_data!AN6</f>
        <v xml:space="preserve"> </v>
      </c>
      <c r="V55" s="32">
        <f>hyd_data!AO6</f>
        <v>1000</v>
      </c>
      <c r="W55" s="33" t="s">
        <v>14</v>
      </c>
      <c r="X55" s="33" t="s">
        <v>190</v>
      </c>
      <c r="Z55" s="33" t="s">
        <v>459</v>
      </c>
      <c r="AA55" s="32" t="s">
        <v>597</v>
      </c>
      <c r="AB55" s="152" t="s">
        <v>34</v>
      </c>
      <c r="AC55" s="32" t="s">
        <v>598</v>
      </c>
      <c r="AD55" s="32">
        <f>hyd_data!P6</f>
        <v>1.191975E-2</v>
      </c>
      <c r="AE55" s="32">
        <f>hyd_data!Q6</f>
        <v>3.7572540000000001</v>
      </c>
      <c r="AF55" s="32">
        <f>hyd_data!S6</f>
        <v>15.303990000000001</v>
      </c>
      <c r="AG55" s="32">
        <f>hyd_data!R6</f>
        <v>-15.091519999999999</v>
      </c>
      <c r="AU55" s="32">
        <f>hyd_data!N6</f>
        <v>2.5688119999999999</v>
      </c>
      <c r="AV55" s="32">
        <f>hyd_data!O6</f>
        <v>4.6985450000000002</v>
      </c>
      <c r="BA55" s="32">
        <f>hyd_data!W6</f>
        <v>2.5688119999999999</v>
      </c>
      <c r="BB55" s="32">
        <f>hyd_data!X6</f>
        <v>1.3317239999999999</v>
      </c>
      <c r="BC55" s="32" t="s">
        <v>599</v>
      </c>
      <c r="BD55" s="32">
        <f>hyd_data!T6</f>
        <v>0.55773479999999998</v>
      </c>
      <c r="BE55" s="32">
        <f>hyd_data!U6</f>
        <v>0.55773479999999998</v>
      </c>
      <c r="BF55" s="32">
        <f>hyd_data!V6</f>
        <v>90.340919999999997</v>
      </c>
      <c r="BS55" s="32">
        <f t="shared" si="0"/>
        <v>0.19693437595829499</v>
      </c>
    </row>
    <row r="56" spans="1:71" ht="45" x14ac:dyDescent="0.25">
      <c r="A56" s="32" t="str">
        <f>hyd_data!J7</f>
        <v>2018-01-31-11:52:46-04</v>
      </c>
      <c r="B56" s="32" t="str">
        <f>hyd_data!J7</f>
        <v>2018-01-31-11:52:46-04</v>
      </c>
      <c r="C56" s="32">
        <v>1</v>
      </c>
      <c r="D56" s="32">
        <f>hyd_data!Y7</f>
        <v>23</v>
      </c>
      <c r="F56" s="32" t="str">
        <f>hyd_data!Z7</f>
        <v>Power Performance</v>
      </c>
      <c r="G56" s="32">
        <f>hyd_data!M7</f>
        <v>964</v>
      </c>
      <c r="H56" s="32" t="str">
        <f>hyd_data!AA7</f>
        <v>polychromatic long-crested head-on</v>
      </c>
      <c r="I56" s="32" t="str">
        <f>hyd_data!AB7</f>
        <v>Bretschneider Spectrum</v>
      </c>
      <c r="J56" s="32">
        <f>hyd_data!AC7</f>
        <v>0.13969999999999999</v>
      </c>
      <c r="K56" s="32">
        <f>hyd_data!AD7</f>
        <v>1.9878</v>
      </c>
      <c r="L56" s="32" t="str">
        <f>hyd_data!AE7</f>
        <v xml:space="preserve"> </v>
      </c>
      <c r="M56" s="32">
        <f>hyd_data!AF7</f>
        <v>3.32E-2</v>
      </c>
      <c r="N56" s="32">
        <f>hyd_data!AG7</f>
        <v>0</v>
      </c>
      <c r="O56" s="32" t="str">
        <f>hyd_data!AH7</f>
        <v xml:space="preserve"> </v>
      </c>
      <c r="P56" s="32" t="str">
        <f>hyd_data!AI7</f>
        <v xml:space="preserve"> </v>
      </c>
      <c r="Q56" s="32">
        <f>hyd_data!AJ7</f>
        <v>15.3545</v>
      </c>
      <c r="R56" s="32">
        <f>hyd_data!AK7</f>
        <v>1.6426000000000001</v>
      </c>
      <c r="S56" s="32">
        <f>hyd_data!AL7</f>
        <v>0.50729999999999997</v>
      </c>
      <c r="T56" s="32">
        <v>7.3</v>
      </c>
      <c r="U56" s="32" t="str">
        <f>hyd_data!AN7</f>
        <v xml:space="preserve"> </v>
      </c>
      <c r="V56" s="32">
        <f>hyd_data!AO7</f>
        <v>1000</v>
      </c>
      <c r="W56" s="33" t="s">
        <v>14</v>
      </c>
      <c r="X56" s="33" t="s">
        <v>190</v>
      </c>
      <c r="Z56" s="33" t="s">
        <v>459</v>
      </c>
      <c r="AA56" s="32" t="s">
        <v>597</v>
      </c>
      <c r="AB56" s="152" t="s">
        <v>34</v>
      </c>
      <c r="AC56" s="32" t="s">
        <v>598</v>
      </c>
      <c r="AD56" s="32">
        <f>hyd_data!P7</f>
        <v>9.6520110000000006E-2</v>
      </c>
      <c r="AE56" s="32">
        <f>hyd_data!Q7</f>
        <v>4.1447019999999997</v>
      </c>
      <c r="AF56" s="32">
        <f>hyd_data!S7</f>
        <v>18.105879999999999</v>
      </c>
      <c r="AG56" s="32">
        <f>hyd_data!R7</f>
        <v>-16.916090000000001</v>
      </c>
      <c r="AU56" s="32">
        <f>hyd_data!N7</f>
        <v>3.6404779999999999</v>
      </c>
      <c r="AV56" s="32">
        <f>hyd_data!O7</f>
        <v>6.6751760000000004</v>
      </c>
      <c r="BA56" s="32">
        <f>hyd_data!W7</f>
        <v>3.6404779999999999</v>
      </c>
      <c r="BB56" s="32">
        <f>hyd_data!X7</f>
        <v>2.0077410000000002</v>
      </c>
      <c r="BC56" s="32" t="s">
        <v>599</v>
      </c>
      <c r="BD56" s="32">
        <f>hyd_data!T7</f>
        <v>1.3156000000000001</v>
      </c>
      <c r="BE56" s="32">
        <f>hyd_data!U7</f>
        <v>1.3156000000000001</v>
      </c>
      <c r="BF56" s="32">
        <f>hyd_data!V7</f>
        <v>114.91289999999999</v>
      </c>
      <c r="BS56" s="32">
        <f t="shared" si="0"/>
        <v>0.23709518382233222</v>
      </c>
    </row>
    <row r="57" spans="1:71" ht="45" x14ac:dyDescent="0.25">
      <c r="A57" s="32" t="str">
        <f>hyd_data!J8</f>
        <v>2018-01-31-14:27:31-04</v>
      </c>
      <c r="B57" s="32" t="str">
        <f>hyd_data!J8</f>
        <v>2018-01-31-14:27:31-04</v>
      </c>
      <c r="C57" s="32">
        <v>1</v>
      </c>
      <c r="D57" s="32">
        <f>hyd_data!Y8</f>
        <v>25</v>
      </c>
      <c r="F57" s="32" t="str">
        <f>hyd_data!Z8</f>
        <v>Power Performance</v>
      </c>
      <c r="G57" s="32">
        <f>hyd_data!M8</f>
        <v>964</v>
      </c>
      <c r="H57" s="32" t="str">
        <f>hyd_data!AA8</f>
        <v>polychromatic long-crested head-on</v>
      </c>
      <c r="I57" s="32" t="str">
        <f>hyd_data!AB8</f>
        <v>Bretschneider Spectrum</v>
      </c>
      <c r="J57" s="32">
        <f>hyd_data!AC8</f>
        <v>0.14710000000000001</v>
      </c>
      <c r="K57" s="32">
        <f>hyd_data!AD8</f>
        <v>2.6861999999999999</v>
      </c>
      <c r="L57" s="32" t="str">
        <f>hyd_data!AE8</f>
        <v xml:space="preserve"> </v>
      </c>
      <c r="M57" s="32">
        <f>hyd_data!AF8</f>
        <v>1.5699999999999999E-2</v>
      </c>
      <c r="N57" s="32">
        <f>hyd_data!AG8</f>
        <v>0</v>
      </c>
      <c r="O57" s="32" t="str">
        <f>hyd_data!AH8</f>
        <v xml:space="preserve"> </v>
      </c>
      <c r="P57" s="32" t="str">
        <f>hyd_data!AI8</f>
        <v xml:space="preserve"> </v>
      </c>
      <c r="Q57" s="32">
        <f>hyd_data!AJ8</f>
        <v>27.0061</v>
      </c>
      <c r="R57" s="32">
        <f>hyd_data!AK8</f>
        <v>2.4605000000000001</v>
      </c>
      <c r="S57" s="32">
        <f>hyd_data!AL8</f>
        <v>0.48</v>
      </c>
      <c r="T57" s="32">
        <v>8.3000000000000007</v>
      </c>
      <c r="U57" s="32" t="str">
        <f>hyd_data!AN8</f>
        <v xml:space="preserve"> </v>
      </c>
      <c r="V57" s="32">
        <f>hyd_data!AO8</f>
        <v>1000</v>
      </c>
      <c r="W57" s="33" t="s">
        <v>14</v>
      </c>
      <c r="X57" s="33" t="s">
        <v>190</v>
      </c>
      <c r="Z57" s="33" t="s">
        <v>459</v>
      </c>
      <c r="AA57" s="32" t="s">
        <v>597</v>
      </c>
      <c r="AB57" s="152" t="s">
        <v>34</v>
      </c>
      <c r="AC57" s="32" t="s">
        <v>598</v>
      </c>
      <c r="AD57" s="32">
        <f>hyd_data!P8</f>
        <v>0.32957140000000001</v>
      </c>
      <c r="AE57" s="32">
        <f>hyd_data!Q8</f>
        <v>4.3586970000000003</v>
      </c>
      <c r="AF57" s="32">
        <f>hyd_data!S8</f>
        <v>22.086449999999999</v>
      </c>
      <c r="AG57" s="32">
        <f>hyd_data!R8</f>
        <v>-15.706519999999999</v>
      </c>
      <c r="AU57" s="32">
        <f>hyd_data!N8</f>
        <v>3.4424060000000001</v>
      </c>
      <c r="AV57" s="32">
        <f>hyd_data!O8</f>
        <v>6.4819180000000003</v>
      </c>
      <c r="BA57" s="32">
        <f>hyd_data!W8</f>
        <v>3.4424060000000001</v>
      </c>
      <c r="BB57" s="32">
        <f>hyd_data!X8</f>
        <v>2.0296750000000001</v>
      </c>
      <c r="BC57" s="32" t="s">
        <v>599</v>
      </c>
      <c r="BD57" s="32">
        <f>hyd_data!T8</f>
        <v>0.75800840000000003</v>
      </c>
      <c r="BE57" s="32">
        <f>hyd_data!U8</f>
        <v>0.75800840000000003</v>
      </c>
      <c r="BF57" s="32">
        <f>hyd_data!V8</f>
        <v>131.90090000000001</v>
      </c>
      <c r="BS57" s="32">
        <f t="shared" si="0"/>
        <v>0.12746772025579406</v>
      </c>
    </row>
    <row r="58" spans="1:71" ht="45" x14ac:dyDescent="0.25">
      <c r="A58" s="32" t="str">
        <f>hyd_data!J9</f>
        <v>2018-01-31-14:48:03-04</v>
      </c>
      <c r="B58" s="32" t="str">
        <f>hyd_data!J9</f>
        <v>2018-01-31-14:48:03-04</v>
      </c>
      <c r="C58" s="32">
        <v>1</v>
      </c>
      <c r="D58" s="32">
        <f>hyd_data!Y9</f>
        <v>25</v>
      </c>
      <c r="F58" s="32" t="str">
        <f>hyd_data!Z9</f>
        <v>Power Performance</v>
      </c>
      <c r="G58" s="32">
        <f>hyd_data!M9</f>
        <v>964</v>
      </c>
      <c r="H58" s="32" t="str">
        <f>hyd_data!AA9</f>
        <v>polychromatic long-crested head-on</v>
      </c>
      <c r="I58" s="32" t="str">
        <f>hyd_data!AB9</f>
        <v>Bretschneider Spectrum</v>
      </c>
      <c r="J58" s="32">
        <f>hyd_data!AC9</f>
        <v>0.20780000000000001</v>
      </c>
      <c r="K58" s="32">
        <f>hyd_data!AD9</f>
        <v>2.0706000000000002</v>
      </c>
      <c r="L58" s="32" t="str">
        <f>hyd_data!AE9</f>
        <v xml:space="preserve"> </v>
      </c>
      <c r="M58" s="32">
        <f>hyd_data!AF9</f>
        <v>3.9399999999999998E-2</v>
      </c>
      <c r="N58" s="32">
        <f>hyd_data!AG9</f>
        <v>0</v>
      </c>
      <c r="O58" s="32" t="str">
        <f>hyd_data!AH9</f>
        <v xml:space="preserve"> </v>
      </c>
      <c r="P58" s="32" t="str">
        <f>hyd_data!AI9</f>
        <v xml:space="preserve"> </v>
      </c>
      <c r="Q58" s="32">
        <f>hyd_data!AJ9</f>
        <v>38.299300000000002</v>
      </c>
      <c r="R58" s="32">
        <f>hyd_data!AK9</f>
        <v>1.8373999999999999</v>
      </c>
      <c r="S58" s="32">
        <f>hyd_data!AL9</f>
        <v>0.47899999999999998</v>
      </c>
      <c r="T58" s="32">
        <v>9.3000000000000007</v>
      </c>
      <c r="U58" s="32" t="str">
        <f>hyd_data!AN9</f>
        <v xml:space="preserve"> </v>
      </c>
      <c r="V58" s="32">
        <f>hyd_data!AO9</f>
        <v>1000</v>
      </c>
      <c r="W58" s="33" t="s">
        <v>14</v>
      </c>
      <c r="X58" s="33" t="s">
        <v>190</v>
      </c>
      <c r="Z58" s="33" t="s">
        <v>459</v>
      </c>
      <c r="AA58" s="32" t="s">
        <v>597</v>
      </c>
      <c r="AB58" s="152" t="s">
        <v>34</v>
      </c>
      <c r="AC58" s="32" t="s">
        <v>598</v>
      </c>
      <c r="AD58" s="32">
        <f>hyd_data!P9</f>
        <v>-0.1059986</v>
      </c>
      <c r="AE58" s="32">
        <f>hyd_data!Q9</f>
        <v>6.698855</v>
      </c>
      <c r="AF58" s="32">
        <f>hyd_data!S9</f>
        <v>27.24024</v>
      </c>
      <c r="AG58" s="32">
        <f>hyd_data!R9</f>
        <v>-27.27636</v>
      </c>
      <c r="AU58" s="32">
        <f>hyd_data!N9</f>
        <v>7.4443390000000003</v>
      </c>
      <c r="AV58" s="32">
        <f>hyd_data!O9</f>
        <v>13.72471</v>
      </c>
      <c r="BA58" s="32">
        <f>hyd_data!W9</f>
        <v>7.4443390000000003</v>
      </c>
      <c r="BB58" s="32">
        <f>hyd_data!X9</f>
        <v>4.6071090000000003</v>
      </c>
      <c r="BC58" s="32" t="s">
        <v>599</v>
      </c>
      <c r="BD58" s="32">
        <f>hyd_data!T9</f>
        <v>2.6941320000000002</v>
      </c>
      <c r="BE58" s="32">
        <f>hyd_data!U9</f>
        <v>2.6941320000000002</v>
      </c>
      <c r="BF58" s="32">
        <f>hyd_data!V9</f>
        <v>193.69550000000001</v>
      </c>
      <c r="BS58" s="32">
        <f t="shared" si="0"/>
        <v>0.19437271699482758</v>
      </c>
    </row>
    <row r="59" spans="1:71" ht="45" x14ac:dyDescent="0.25">
      <c r="A59" s="32" t="str">
        <f>hyd_data!J10</f>
        <v>2018-02-01-15:46:48-04</v>
      </c>
      <c r="B59" s="32" t="str">
        <f>hyd_data!J10</f>
        <v>2018-02-01-15:46:48-04</v>
      </c>
      <c r="C59" s="32">
        <v>1</v>
      </c>
      <c r="D59" s="32">
        <f>hyd_data!Y10</f>
        <v>23</v>
      </c>
      <c r="F59" s="32" t="str">
        <f>hyd_data!Z10</f>
        <v>Power Performance</v>
      </c>
      <c r="G59" s="32">
        <f>hyd_data!M10</f>
        <v>964</v>
      </c>
      <c r="H59" s="32" t="str">
        <f>hyd_data!AA10</f>
        <v>polychromatic short crested head-on</v>
      </c>
      <c r="I59" s="32" t="str">
        <f>hyd_data!AB10</f>
        <v>Bretschneider Spectrum</v>
      </c>
      <c r="J59" s="32">
        <f>hyd_data!AC10</f>
        <v>0.1431</v>
      </c>
      <c r="K59" s="32">
        <f>hyd_data!AD10</f>
        <v>1.9878</v>
      </c>
      <c r="L59" s="32" t="str">
        <f>hyd_data!AE10</f>
        <v xml:space="preserve"> </v>
      </c>
      <c r="M59" s="32">
        <f>hyd_data!AF10</f>
        <v>3.3500000000000002E-2</v>
      </c>
      <c r="N59" s="32">
        <f>hyd_data!AG10</f>
        <v>0</v>
      </c>
      <c r="O59" s="32" t="str">
        <f>hyd_data!AH10</f>
        <v>cos2s</v>
      </c>
      <c r="P59" s="32">
        <f>hyd_data!AI10</f>
        <v>10</v>
      </c>
      <c r="Q59" s="32">
        <f>hyd_data!AJ10</f>
        <v>16.154699999999998</v>
      </c>
      <c r="R59" s="32">
        <f>hyd_data!AK10</f>
        <v>1.6534</v>
      </c>
      <c r="S59" s="32">
        <f>hyd_data!AL10</f>
        <v>0.62560000000000004</v>
      </c>
      <c r="T59" s="32">
        <v>10.3</v>
      </c>
      <c r="U59" s="32" t="str">
        <f>hyd_data!AN10</f>
        <v xml:space="preserve"> </v>
      </c>
      <c r="V59" s="32">
        <f>hyd_data!AO10</f>
        <v>1000</v>
      </c>
      <c r="W59" s="33" t="s">
        <v>14</v>
      </c>
      <c r="X59" s="33" t="s">
        <v>190</v>
      </c>
      <c r="Z59" s="33" t="s">
        <v>459</v>
      </c>
      <c r="AA59" s="32" t="s">
        <v>597</v>
      </c>
      <c r="AB59" s="152" t="s">
        <v>34</v>
      </c>
      <c r="AC59" s="32" t="s">
        <v>598</v>
      </c>
      <c r="AD59" s="32">
        <f>hyd_data!P10</f>
        <v>0.53772560000000003</v>
      </c>
      <c r="AE59" s="32">
        <f>hyd_data!Q10</f>
        <v>4.4371590000000003</v>
      </c>
      <c r="AF59" s="32">
        <f>hyd_data!S10</f>
        <v>21.010760000000001</v>
      </c>
      <c r="AG59" s="32">
        <f>hyd_data!R10</f>
        <v>-18.29588</v>
      </c>
      <c r="AU59" s="32">
        <f>hyd_data!N10</f>
        <v>3.9046979999999998</v>
      </c>
      <c r="AV59" s="32">
        <f>hyd_data!O10</f>
        <v>7.1404350000000001</v>
      </c>
      <c r="BA59" s="32">
        <f>hyd_data!W10</f>
        <v>3.9046979999999998</v>
      </c>
      <c r="BB59" s="32">
        <f>hyd_data!X10</f>
        <v>2.209225</v>
      </c>
      <c r="BC59" s="32" t="s">
        <v>599</v>
      </c>
      <c r="BD59" s="32">
        <f>hyd_data!T10</f>
        <v>0.76387629999999995</v>
      </c>
      <c r="BE59" s="32">
        <f>hyd_data!U10</f>
        <v>0.76387629999999995</v>
      </c>
      <c r="BF59" s="32">
        <f>hyd_data!V10</f>
        <v>111.5468</v>
      </c>
      <c r="BS59" s="32">
        <f t="shared" si="0"/>
        <v>0.24170662407844157</v>
      </c>
    </row>
    <row r="60" spans="1:71" ht="45" x14ac:dyDescent="0.25">
      <c r="A60" s="32" t="str">
        <f>hyd_data!J11</f>
        <v>2018-02-01-16:05:40-04</v>
      </c>
      <c r="B60" s="32" t="str">
        <f>hyd_data!J11</f>
        <v>2018-02-01-16:05:40-04</v>
      </c>
      <c r="C60" s="32">
        <v>1</v>
      </c>
      <c r="D60" s="32">
        <f>hyd_data!Y11</f>
        <v>23</v>
      </c>
      <c r="F60" s="32" t="str">
        <f>hyd_data!Z11</f>
        <v>Power Performance</v>
      </c>
      <c r="G60" s="32">
        <f>hyd_data!M11</f>
        <v>960</v>
      </c>
      <c r="H60" s="32" t="str">
        <f>hyd_data!AA11</f>
        <v>bimodal polychromatic long-crested</v>
      </c>
      <c r="I60" s="32" t="str">
        <f>hyd_data!AB11</f>
        <v>Custom</v>
      </c>
      <c r="J60" s="32">
        <f>hyd_data!AC11</f>
        <v>0.112</v>
      </c>
      <c r="K60" s="32">
        <f>hyd_data!AD11</f>
        <v>3.3130000000000002</v>
      </c>
      <c r="L60" s="32" t="str">
        <f>hyd_data!AE11</f>
        <v xml:space="preserve"> </v>
      </c>
      <c r="M60" s="32">
        <f>hyd_data!AF11</f>
        <v>1.1900000000000001E-2</v>
      </c>
      <c r="N60" s="32">
        <f>hyd_data!AG11</f>
        <v>0</v>
      </c>
      <c r="O60" s="32" t="str">
        <f>hyd_data!AH11</f>
        <v>bi-directional</v>
      </c>
      <c r="P60" s="32" t="str">
        <f>hyd_data!AI11</f>
        <v xml:space="preserve"> </v>
      </c>
      <c r="Q60" s="32">
        <f>hyd_data!AJ11</f>
        <v>16.121300000000002</v>
      </c>
      <c r="R60" s="32">
        <f>hyd_data!AK11</f>
        <v>2.4655</v>
      </c>
      <c r="S60" s="32">
        <f>hyd_data!AL11</f>
        <v>0.57299999999999995</v>
      </c>
      <c r="T60" s="32">
        <v>11.3</v>
      </c>
      <c r="U60" s="32" t="str">
        <f>hyd_data!AN11</f>
        <v xml:space="preserve"> </v>
      </c>
      <c r="V60" s="32">
        <f>hyd_data!AO11</f>
        <v>1000</v>
      </c>
      <c r="W60" s="33" t="s">
        <v>14</v>
      </c>
      <c r="X60" s="33" t="s">
        <v>190</v>
      </c>
      <c r="Z60" s="33" t="s">
        <v>459</v>
      </c>
      <c r="AA60" s="32" t="s">
        <v>597</v>
      </c>
      <c r="AB60" s="152" t="s">
        <v>34</v>
      </c>
      <c r="AC60" s="32" t="s">
        <v>598</v>
      </c>
      <c r="AD60" s="32">
        <f>hyd_data!P11</f>
        <v>0.29989670000000002</v>
      </c>
      <c r="AE60" s="32">
        <f>hyd_data!Q11</f>
        <v>3.3705720000000001</v>
      </c>
      <c r="AF60" s="32">
        <f>hyd_data!S11</f>
        <v>14.56921</v>
      </c>
      <c r="AG60" s="32">
        <f>hyd_data!R11</f>
        <v>-12.64026</v>
      </c>
      <c r="AU60" s="32">
        <f>hyd_data!N11</f>
        <v>1.3359799999999999</v>
      </c>
      <c r="AV60" s="32">
        <f>hyd_data!O11</f>
        <v>2.410968</v>
      </c>
      <c r="BA60" s="32">
        <f>hyd_data!W11</f>
        <v>1.3359799999999999</v>
      </c>
      <c r="BB60" s="32">
        <f>hyd_data!X11</f>
        <v>0.42474590000000001</v>
      </c>
      <c r="BC60" s="32" t="s">
        <v>599</v>
      </c>
      <c r="BD60" s="32">
        <f>hyd_data!T11</f>
        <v>-0.20694850000000001</v>
      </c>
      <c r="BE60" s="32">
        <f>hyd_data!U11</f>
        <v>-0.20694850000000001</v>
      </c>
      <c r="BF60" s="32">
        <f>hyd_data!V11</f>
        <v>50.513240000000003</v>
      </c>
      <c r="BS60" s="32">
        <f t="shared" si="0"/>
        <v>8.2870488112000887E-2</v>
      </c>
    </row>
    <row r="61" spans="1:71" ht="45" x14ac:dyDescent="0.25">
      <c r="A61" s="32" t="str">
        <f>survival_data!A2</f>
        <v>wc6_ex1_0201102818.mat</v>
      </c>
      <c r="B61" s="32" t="str">
        <f>survival_data!J2</f>
        <v>2018-02-01-10:28:18-04</v>
      </c>
      <c r="C61" s="32">
        <f>survival_data!AP2</f>
        <v>1</v>
      </c>
      <c r="D61" s="32">
        <f>survival_data!Y2</f>
        <v>29</v>
      </c>
      <c r="F61" s="32" t="str">
        <f>survival_data!Z2</f>
        <v>Safety and Function</v>
      </c>
      <c r="G61" s="32">
        <f>survival_data!M2</f>
        <v>964</v>
      </c>
      <c r="H61" s="32" t="str">
        <f>survival_data!AA2</f>
        <v>polychromatic long-crested head-on</v>
      </c>
      <c r="I61" s="32" t="str">
        <f>survival_data!AB2</f>
        <v>Bretschneider Spectrum</v>
      </c>
      <c r="J61" s="32">
        <f>survival_data!AC2</f>
        <v>0.20780000000000001</v>
      </c>
      <c r="K61" s="32">
        <f>survival_data!AD2</f>
        <v>2.0706000000000002</v>
      </c>
      <c r="L61" s="32" t="str">
        <f>survival_data!AE2</f>
        <v xml:space="preserve"> </v>
      </c>
      <c r="M61" s="32">
        <f>survival_data!AF2</f>
        <v>3.9399999999999998E-2</v>
      </c>
      <c r="N61" s="32">
        <f>survival_data!AG2</f>
        <v>0</v>
      </c>
      <c r="O61" s="32" t="str">
        <f>survival_data!AH2</f>
        <v xml:space="preserve"> </v>
      </c>
      <c r="P61" s="32" t="str">
        <f>survival_data!AI2</f>
        <v xml:space="preserve"> </v>
      </c>
      <c r="Q61" s="32">
        <f>survival_data!AJ2</f>
        <v>38.299300000000002</v>
      </c>
      <c r="R61" s="32">
        <f>survival_data!AK2</f>
        <v>1.8373999999999999</v>
      </c>
      <c r="S61" s="32">
        <f>survival_data!AL2</f>
        <v>0.47899999999999998</v>
      </c>
      <c r="T61" s="32">
        <f>survival_data!AM2</f>
        <v>4.3</v>
      </c>
      <c r="U61" s="32" t="str">
        <f>survival_data!AN2</f>
        <v xml:space="preserve"> </v>
      </c>
      <c r="V61" s="32">
        <f>survival_data!AO2</f>
        <v>1000</v>
      </c>
      <c r="W61" s="33" t="s">
        <v>14</v>
      </c>
      <c r="X61" s="33" t="s">
        <v>190</v>
      </c>
      <c r="Z61" s="33" t="s">
        <v>459</v>
      </c>
      <c r="AA61" s="32" t="s">
        <v>597</v>
      </c>
      <c r="AB61" s="152" t="str">
        <f>survival_data!AQ2</f>
        <v>Linear Damping</v>
      </c>
      <c r="AC61" s="32" t="s">
        <v>598</v>
      </c>
      <c r="AD61" s="154">
        <f>survival_data!P2</f>
        <v>4.0125099999999998</v>
      </c>
      <c r="AE61" s="154">
        <f>survival_data!Q2</f>
        <v>2.1942759999999999</v>
      </c>
      <c r="AF61" s="154">
        <f>survival_data!S2</f>
        <v>12.276120000000001</v>
      </c>
      <c r="AG61" s="154">
        <f>survival_data!R2</f>
        <v>-2.9094280000000001</v>
      </c>
      <c r="AU61" s="154">
        <f>survival_data!N2</f>
        <v>5.2329600000000003</v>
      </c>
      <c r="AV61" s="154">
        <f>survival_data!O2</f>
        <v>6.9878359999999997</v>
      </c>
      <c r="BA61" s="154"/>
      <c r="BB61" s="154"/>
      <c r="BC61" s="32" t="s">
        <v>599</v>
      </c>
      <c r="BD61" s="154">
        <f>survival_data!T2</f>
        <v>0.51858590000000004</v>
      </c>
      <c r="BE61" s="154">
        <f>survival_data!U2</f>
        <v>0.51858590000000004</v>
      </c>
      <c r="BF61" s="154">
        <f>survival_data!V2</f>
        <v>175.45939999999999</v>
      </c>
      <c r="BS61" s="32">
        <f>AU61/Q61</f>
        <v>0.136633306613959</v>
      </c>
    </row>
    <row r="62" spans="1:71" ht="45" x14ac:dyDescent="0.25">
      <c r="A62" s="32" t="str">
        <f>survival_data!A3</f>
        <v>wc10_ex1_0201120039.mat</v>
      </c>
      <c r="B62" s="32" t="str">
        <f>survival_data!J3</f>
        <v>2018-02-01-12:00:39-04</v>
      </c>
      <c r="C62" s="32">
        <f>survival_data!AP3</f>
        <v>1</v>
      </c>
      <c r="D62" s="32">
        <f>survival_data!Y3</f>
        <v>29</v>
      </c>
      <c r="F62" s="32" t="str">
        <f>survival_data!Z3</f>
        <v>Safety and Function</v>
      </c>
      <c r="G62" s="32">
        <f>survival_data!M3</f>
        <v>243</v>
      </c>
      <c r="H62" s="32" t="str">
        <f>survival_data!AA3</f>
        <v>polychromatic short crested head-on</v>
      </c>
      <c r="I62" s="32" t="str">
        <f>survival_data!AB3</f>
        <v>JONSWAP</v>
      </c>
      <c r="J62" s="32">
        <f>survival_data!AC3</f>
        <v>0.35539999999999999</v>
      </c>
      <c r="K62" s="32">
        <f>survival_data!AD3</f>
        <v>2.3529</v>
      </c>
      <c r="L62" s="32">
        <f>survival_data!AE3</f>
        <v>0</v>
      </c>
      <c r="M62" s="32">
        <f>survival_data!AF3</f>
        <v>4.58E-2</v>
      </c>
      <c r="N62" s="32">
        <f>survival_data!AG3</f>
        <v>0</v>
      </c>
      <c r="O62" s="32" t="str">
        <f>survival_data!AH3</f>
        <v>cos2s</v>
      </c>
      <c r="P62" s="32">
        <f>survival_data!AI3</f>
        <v>7</v>
      </c>
      <c r="Q62" s="32">
        <f>survival_data!AJ3</f>
        <v>137.01310000000001</v>
      </c>
      <c r="R62" s="32">
        <f>survival_data!AK3</f>
        <v>2.2286000000000001</v>
      </c>
      <c r="S62" s="32">
        <f>survival_data!AL3</f>
        <v>1.2048000000000001</v>
      </c>
      <c r="T62" s="32">
        <f>survival_data!AM3</f>
        <v>4.3</v>
      </c>
      <c r="U62" s="32">
        <f>survival_data!AN3</f>
        <v>0</v>
      </c>
      <c r="V62" s="32">
        <f>survival_data!AO3</f>
        <v>1000</v>
      </c>
      <c r="W62" s="33" t="s">
        <v>14</v>
      </c>
      <c r="X62" s="33" t="s">
        <v>190</v>
      </c>
      <c r="Z62" s="33" t="s">
        <v>459</v>
      </c>
      <c r="AA62" s="32" t="s">
        <v>597</v>
      </c>
      <c r="AB62" s="152" t="str">
        <f>survival_data!AQ3</f>
        <v>Linear Damping</v>
      </c>
      <c r="AC62" s="32" t="s">
        <v>598</v>
      </c>
      <c r="AD62" s="154">
        <f>survival_data!P3</f>
        <v>5.5737240000000003</v>
      </c>
      <c r="AE62" s="154">
        <f>survival_data!Q3</f>
        <v>3.7221150000000001</v>
      </c>
      <c r="AF62" s="154">
        <f>survival_data!S3</f>
        <v>16.541789999999999</v>
      </c>
      <c r="AG62" s="154">
        <f>survival_data!R3</f>
        <v>-3.5387740000000001</v>
      </c>
      <c r="AU62" s="154">
        <f>survival_data!N3</f>
        <v>10.68472</v>
      </c>
      <c r="AV62" s="154">
        <f>survival_data!O3</f>
        <v>12.72616</v>
      </c>
      <c r="BA62" s="154">
        <f>survival_data!W3</f>
        <v>0</v>
      </c>
      <c r="BB62" s="154">
        <f>survival_data!X3</f>
        <v>0</v>
      </c>
      <c r="BC62" s="32" t="s">
        <v>599</v>
      </c>
      <c r="BD62" s="154">
        <f>survival_data!T3</f>
        <v>-0.73034699999999997</v>
      </c>
      <c r="BE62" s="154">
        <f>survival_data!U3</f>
        <v>-0.73034699999999997</v>
      </c>
      <c r="BF62" s="154">
        <f>survival_data!V3</f>
        <v>191.9847</v>
      </c>
      <c r="BS62" s="32">
        <f>AU62/Q62</f>
        <v>7.7983200146555326E-2</v>
      </c>
    </row>
    <row r="63" spans="1:71" ht="45" x14ac:dyDescent="0.25">
      <c r="A63" s="32" t="str">
        <f>survival_data!A4</f>
        <v>wc10_ex2_0201123282.mat</v>
      </c>
      <c r="B63" s="32" t="str">
        <f>survival_data!J4</f>
        <v>2018-02-01-12:32:82-04</v>
      </c>
      <c r="C63" s="32">
        <f>survival_data!AP4</f>
        <v>1</v>
      </c>
      <c r="D63" s="32">
        <f>survival_data!Y4</f>
        <v>29</v>
      </c>
      <c r="F63" s="32" t="str">
        <f>survival_data!Z4</f>
        <v>Safety and Function</v>
      </c>
      <c r="G63" s="32">
        <f>survival_data!M4</f>
        <v>273</v>
      </c>
      <c r="H63" s="32" t="str">
        <f>survival_data!AA4</f>
        <v>polychromatic short crested head-on</v>
      </c>
      <c r="I63" s="32" t="str">
        <f>survival_data!AB4</f>
        <v>JONSWAP</v>
      </c>
      <c r="J63" s="32">
        <f>survival_data!AC4</f>
        <v>0.35539999999999999</v>
      </c>
      <c r="K63" s="32">
        <f>survival_data!AD4</f>
        <v>2.3529</v>
      </c>
      <c r="L63" s="32">
        <f>survival_data!AE4</f>
        <v>0</v>
      </c>
      <c r="M63" s="32">
        <f>survival_data!AF4</f>
        <v>4.58E-2</v>
      </c>
      <c r="N63" s="32">
        <f>survival_data!AG4</f>
        <v>0</v>
      </c>
      <c r="O63" s="32" t="str">
        <f>survival_data!AH4</f>
        <v>cos2s</v>
      </c>
      <c r="P63" s="32">
        <f>survival_data!AI4</f>
        <v>7</v>
      </c>
      <c r="Q63" s="32">
        <f>survival_data!AJ4</f>
        <v>137.01310000000001</v>
      </c>
      <c r="R63" s="32">
        <f>survival_data!AK4</f>
        <v>2.2286000000000001</v>
      </c>
      <c r="S63" s="32">
        <f>survival_data!AL4</f>
        <v>1.2048000000000001</v>
      </c>
      <c r="T63" s="32">
        <f>survival_data!AM4</f>
        <v>4.3</v>
      </c>
      <c r="U63" s="32">
        <f>survival_data!AN4</f>
        <v>0</v>
      </c>
      <c r="V63" s="32">
        <f>survival_data!AO4</f>
        <v>1000</v>
      </c>
      <c r="W63" s="33" t="s">
        <v>14</v>
      </c>
      <c r="X63" s="33" t="s">
        <v>190</v>
      </c>
      <c r="Z63" s="33" t="s">
        <v>459</v>
      </c>
      <c r="AA63" s="32" t="s">
        <v>597</v>
      </c>
      <c r="AB63" s="152" t="str">
        <f>survival_data!AQ4</f>
        <v>Linear Damping</v>
      </c>
      <c r="AC63" s="32" t="s">
        <v>598</v>
      </c>
      <c r="AD63" s="154">
        <f>survival_data!P4</f>
        <v>5.4960550000000001</v>
      </c>
      <c r="AE63" s="154">
        <f>survival_data!Q4</f>
        <v>3.7347049999999999</v>
      </c>
      <c r="AF63" s="154">
        <f>survival_data!S4</f>
        <v>17.335100000000001</v>
      </c>
      <c r="AG63" s="154">
        <f>survival_data!R4</f>
        <v>-4.0394100000000002</v>
      </c>
      <c r="AU63" s="154">
        <f>survival_data!N4</f>
        <v>11.689640000000001</v>
      </c>
      <c r="AV63" s="154">
        <f>survival_data!O4</f>
        <v>13.646839999999999</v>
      </c>
      <c r="BA63" s="154">
        <f>survival_data!W4</f>
        <v>0</v>
      </c>
      <c r="BB63" s="154">
        <f>survival_data!X4</f>
        <v>0</v>
      </c>
      <c r="BC63" s="32" t="s">
        <v>599</v>
      </c>
      <c r="BD63" s="154">
        <f>survival_data!T4</f>
        <v>-0.59955069999999999</v>
      </c>
      <c r="BE63" s="154">
        <f>survival_data!U4</f>
        <v>-0.59955069999999999</v>
      </c>
      <c r="BF63" s="154">
        <f>survival_data!V4</f>
        <v>197.703</v>
      </c>
      <c r="BS63" s="32">
        <f>AU63/Q63</f>
        <v>8.5317681302006884E-2</v>
      </c>
    </row>
    <row r="64" spans="1:71" ht="45" x14ac:dyDescent="0.25">
      <c r="A64" s="32" t="str">
        <f>survival_data!A5</f>
        <v>wc10_ex3_0201010353.mat</v>
      </c>
      <c r="B64" s="32" t="str">
        <f>survival_data!J5</f>
        <v>2018-02-01-13:03:53-04</v>
      </c>
      <c r="C64" s="32">
        <f>survival_data!AP5</f>
        <v>1</v>
      </c>
      <c r="D64" s="32">
        <f>survival_data!Y5</f>
        <v>30</v>
      </c>
      <c r="F64" s="32" t="str">
        <f>survival_data!Z5</f>
        <v>Safety and Function</v>
      </c>
      <c r="G64" s="32">
        <f>survival_data!M5</f>
        <v>1050</v>
      </c>
      <c r="H64" s="32" t="str">
        <f>survival_data!AA5</f>
        <v>polychromatic short crested head-on</v>
      </c>
      <c r="I64" s="32" t="str">
        <f>survival_data!AB5</f>
        <v>JONSWAP</v>
      </c>
      <c r="J64" s="32">
        <f>survival_data!AC5</f>
        <v>0.35539999999999999</v>
      </c>
      <c r="K64" s="32">
        <f>survival_data!AD5</f>
        <v>2.3529</v>
      </c>
      <c r="L64" s="32">
        <f>survival_data!AE5</f>
        <v>0</v>
      </c>
      <c r="M64" s="32">
        <f>survival_data!AF5</f>
        <v>4.58E-2</v>
      </c>
      <c r="N64" s="32">
        <f>survival_data!AG5</f>
        <v>0</v>
      </c>
      <c r="O64" s="32" t="str">
        <f>survival_data!AH5</f>
        <v>cos2s</v>
      </c>
      <c r="P64" s="32">
        <f>survival_data!AI5</f>
        <v>7</v>
      </c>
      <c r="Q64" s="32">
        <f>survival_data!AJ5</f>
        <v>137.01310000000001</v>
      </c>
      <c r="R64" s="32">
        <f>survival_data!AK5</f>
        <v>2.2286000000000001</v>
      </c>
      <c r="S64" s="32">
        <f>survival_data!AL5</f>
        <v>1.2048000000000001</v>
      </c>
      <c r="T64" s="32">
        <f>survival_data!AM5</f>
        <v>4.3</v>
      </c>
      <c r="U64" s="32">
        <f>survival_data!AN5</f>
        <v>0</v>
      </c>
      <c r="V64" s="32">
        <f>survival_data!AO5</f>
        <v>1000</v>
      </c>
      <c r="W64" s="33" t="s">
        <v>14</v>
      </c>
      <c r="X64" s="33" t="s">
        <v>190</v>
      </c>
      <c r="Z64" s="33" t="s">
        <v>459</v>
      </c>
      <c r="AA64" s="32" t="s">
        <v>597</v>
      </c>
      <c r="AB64" s="152" t="str">
        <f>survival_data!AQ5</f>
        <v>Linear Damping</v>
      </c>
      <c r="AC64" s="32" t="s">
        <v>598</v>
      </c>
      <c r="AD64" s="154">
        <f>survival_data!P5</f>
        <v>5.7137419999999999</v>
      </c>
      <c r="AE64" s="154">
        <f>survival_data!Q5</f>
        <v>5.3978429999999999</v>
      </c>
      <c r="AF64" s="154">
        <f>survival_data!S5</f>
        <v>28.05302</v>
      </c>
      <c r="AG64" s="154">
        <f>survival_data!R5</f>
        <v>-8.3727640000000001</v>
      </c>
      <c r="AU64" s="154">
        <f>survival_data!N5</f>
        <v>15.043659999999999</v>
      </c>
      <c r="AV64" s="154">
        <f>survival_data!O5</f>
        <v>18.385829999999999</v>
      </c>
      <c r="BA64" s="154">
        <f>survival_data!W5</f>
        <v>0</v>
      </c>
      <c r="BB64" s="154">
        <f>survival_data!X5</f>
        <v>0</v>
      </c>
      <c r="BC64" s="32" t="s">
        <v>599</v>
      </c>
      <c r="BD64" s="154">
        <f>survival_data!T5</f>
        <v>-1.6411129999999999E-2</v>
      </c>
      <c r="BE64" s="154">
        <f>survival_data!U5</f>
        <v>-1.6411129999999999E-2</v>
      </c>
      <c r="BF64" s="154">
        <f>survival_data!V5</f>
        <v>199.2482</v>
      </c>
      <c r="BS64" s="32">
        <f>AU64/Q64</f>
        <v>0.10979723836625839</v>
      </c>
    </row>
    <row r="65" spans="1:71" ht="45" x14ac:dyDescent="0.25">
      <c r="A65" s="32" t="str">
        <f>survival_data!A6</f>
        <v>wc10_ex4_0201123917.mat</v>
      </c>
      <c r="B65" s="32" t="str">
        <f>survival_data!J6</f>
        <v>2018-02-01-12:39:17-04</v>
      </c>
      <c r="C65" s="32">
        <f>survival_data!AP6</f>
        <v>2</v>
      </c>
      <c r="D65" s="32">
        <f>survival_data!Y6</f>
        <v>30</v>
      </c>
      <c r="F65" s="32" t="str">
        <f>survival_data!Z6</f>
        <v>Safety and Function</v>
      </c>
      <c r="G65" s="32">
        <f>survival_data!M6</f>
        <v>323</v>
      </c>
      <c r="H65" s="32" t="str">
        <f>survival_data!AA6</f>
        <v>polychromatic short crested head-on</v>
      </c>
      <c r="I65" s="32" t="str">
        <f>survival_data!AB6</f>
        <v>JONSWAP</v>
      </c>
      <c r="J65" s="32">
        <f>survival_data!AC6</f>
        <v>0.35539999999999999</v>
      </c>
      <c r="K65" s="32">
        <f>survival_data!AD6</f>
        <v>2.3529</v>
      </c>
      <c r="L65" s="32">
        <f>survival_data!AE6</f>
        <v>0</v>
      </c>
      <c r="M65" s="32">
        <f>survival_data!AF6</f>
        <v>4.58E-2</v>
      </c>
      <c r="N65" s="32">
        <f>survival_data!AG6</f>
        <v>0</v>
      </c>
      <c r="O65" s="32" t="str">
        <f>survival_data!AH6</f>
        <v>cos2s</v>
      </c>
      <c r="P65" s="32">
        <f>survival_data!AI6</f>
        <v>7</v>
      </c>
      <c r="Q65" s="32">
        <f>survival_data!AJ6</f>
        <v>137.01310000000001</v>
      </c>
      <c r="R65" s="32">
        <f>survival_data!AK6</f>
        <v>2.2286000000000001</v>
      </c>
      <c r="S65" s="32">
        <f>survival_data!AL6</f>
        <v>1.2048000000000001</v>
      </c>
      <c r="T65" s="32">
        <f>survival_data!AM6</f>
        <v>4.3</v>
      </c>
      <c r="U65" s="32">
        <f>survival_data!AN6</f>
        <v>0</v>
      </c>
      <c r="V65" s="32">
        <f>survival_data!AO6</f>
        <v>1000</v>
      </c>
      <c r="W65" s="33" t="s">
        <v>14</v>
      </c>
      <c r="X65" s="33" t="s">
        <v>190</v>
      </c>
      <c r="Z65" s="33" t="s">
        <v>459</v>
      </c>
      <c r="AA65" s="32" t="s">
        <v>597</v>
      </c>
      <c r="AB65" s="152" t="str">
        <f>survival_data!AQ6</f>
        <v>Linear Damping</v>
      </c>
      <c r="AC65" s="32" t="s">
        <v>598</v>
      </c>
      <c r="AD65" s="154">
        <f>survival_data!P6</f>
        <v>4.7893330000000001</v>
      </c>
      <c r="AE65" s="154">
        <f>survival_data!Q6</f>
        <v>5.5028699999999997</v>
      </c>
      <c r="AF65" s="154">
        <f>survival_data!S6</f>
        <v>21.939810000000001</v>
      </c>
      <c r="AG65" s="154">
        <f>survival_data!R6</f>
        <v>-8.4801090000000006</v>
      </c>
      <c r="AU65" s="154">
        <f>survival_data!N6</f>
        <v>15.586830000000001</v>
      </c>
      <c r="AV65" s="154">
        <f>survival_data!O6</f>
        <v>18.630410000000001</v>
      </c>
      <c r="BA65" s="154">
        <f>survival_data!W6</f>
        <v>0</v>
      </c>
      <c r="BB65" s="154">
        <f>survival_data!X6</f>
        <v>0</v>
      </c>
      <c r="BC65" s="32" t="s">
        <v>599</v>
      </c>
      <c r="BD65" s="154">
        <f>survival_data!T6</f>
        <v>-0.25115090000000001</v>
      </c>
      <c r="BE65" s="154">
        <f>survival_data!U6</f>
        <v>-0.25115090000000001</v>
      </c>
      <c r="BF65" s="154">
        <f>survival_data!V6</f>
        <v>180.82239999999999</v>
      </c>
      <c r="BS65" s="32">
        <f>AU65/Q65</f>
        <v>0.1137616038174452</v>
      </c>
    </row>
    <row r="66" spans="1:71" ht="45" x14ac:dyDescent="0.25">
      <c r="A66" s="32" t="str">
        <f>survival_data!A7</f>
        <v>wc10_ex5_0201012633.mat</v>
      </c>
      <c r="B66" s="32" t="str">
        <f>survival_data!J7</f>
        <v>2018-02-01-13:26:33-04</v>
      </c>
      <c r="C66" s="32">
        <f>survival_data!AP7</f>
        <v>1</v>
      </c>
      <c r="D66" s="32">
        <f>survival_data!Y7</f>
        <v>31</v>
      </c>
      <c r="F66" s="32" t="str">
        <f>survival_data!Z7</f>
        <v>Safety and Function</v>
      </c>
      <c r="G66" s="32">
        <f>survival_data!M7</f>
        <v>269</v>
      </c>
      <c r="H66" s="32" t="str">
        <f>survival_data!AA7</f>
        <v>polychromatic short crested head-on</v>
      </c>
      <c r="I66" s="32" t="str">
        <f>survival_data!AB7</f>
        <v>JONSWAP</v>
      </c>
      <c r="J66" s="32">
        <f>survival_data!AC7</f>
        <v>0.35539999999999999</v>
      </c>
      <c r="K66" s="32">
        <f>survival_data!AD7</f>
        <v>2.3529</v>
      </c>
      <c r="L66" s="32">
        <f>survival_data!AE7</f>
        <v>0</v>
      </c>
      <c r="M66" s="32">
        <f>survival_data!AF7</f>
        <v>4.58E-2</v>
      </c>
      <c r="N66" s="32">
        <f>survival_data!AG7</f>
        <v>0</v>
      </c>
      <c r="O66" s="32" t="str">
        <f>survival_data!AH7</f>
        <v>cos2s</v>
      </c>
      <c r="P66" s="32">
        <f>survival_data!AI7</f>
        <v>7</v>
      </c>
      <c r="Q66" s="32">
        <f>survival_data!AJ7</f>
        <v>137.01310000000001</v>
      </c>
      <c r="R66" s="32">
        <f>survival_data!AK7</f>
        <v>2.2286000000000001</v>
      </c>
      <c r="S66" s="32">
        <f>survival_data!AL7</f>
        <v>1.2048000000000001</v>
      </c>
      <c r="T66" s="32">
        <f>survival_data!AM7</f>
        <v>4.3</v>
      </c>
      <c r="U66" s="32">
        <f>survival_data!AN7</f>
        <v>0</v>
      </c>
      <c r="V66" s="32">
        <f>survival_data!AO7</f>
        <v>1000</v>
      </c>
      <c r="W66" s="33" t="s">
        <v>14</v>
      </c>
      <c r="X66" s="33" t="s">
        <v>190</v>
      </c>
      <c r="Z66" s="33" t="s">
        <v>459</v>
      </c>
      <c r="AA66" s="32" t="s">
        <v>597</v>
      </c>
      <c r="AB66" s="152" t="str">
        <f>survival_data!AQ7</f>
        <v>Linear Damping</v>
      </c>
      <c r="AC66" s="32" t="s">
        <v>598</v>
      </c>
      <c r="AD66" s="154">
        <f>survival_data!P7</f>
        <v>4.7675700000000001</v>
      </c>
      <c r="AE66" s="154">
        <f>survival_data!Q7</f>
        <v>4.5031109999999996</v>
      </c>
      <c r="AF66" s="154">
        <f>survival_data!S7</f>
        <v>19.179310000000001</v>
      </c>
      <c r="AG66" s="154">
        <f>survival_data!R7</f>
        <v>-5.4788959999999998</v>
      </c>
      <c r="AU66" s="154">
        <f>survival_data!N7</f>
        <v>13.67693</v>
      </c>
      <c r="AV66" s="154">
        <f>survival_data!O7</f>
        <v>16.04223</v>
      </c>
      <c r="BA66" s="154">
        <f>survival_data!W7</f>
        <v>0</v>
      </c>
      <c r="BB66" s="154">
        <f>survival_data!X7</f>
        <v>0</v>
      </c>
      <c r="BC66" s="32" t="s">
        <v>599</v>
      </c>
      <c r="BD66" s="154">
        <f>survival_data!T7</f>
        <v>-0.36845869999999997</v>
      </c>
      <c r="BE66" s="154">
        <f>survival_data!U7</f>
        <v>-0.36845869999999997</v>
      </c>
      <c r="BF66" s="154">
        <f>survival_data!V7</f>
        <v>183.33510000000001</v>
      </c>
      <c r="BS66" s="32">
        <f>AU66/Q66</f>
        <v>9.9822060810243696E-2</v>
      </c>
    </row>
    <row r="67" spans="1:71" ht="45" x14ac:dyDescent="0.25">
      <c r="A67" s="32" t="str">
        <f>survival_data!A8</f>
        <v>wc10_ex6_0201014854.mat</v>
      </c>
      <c r="B67" s="32" t="str">
        <f>survival_data!J8</f>
        <v>2018-02-01-13:48:54-04</v>
      </c>
      <c r="C67" s="32">
        <f>survival_data!AP8</f>
        <v>2</v>
      </c>
      <c r="D67" s="32">
        <f>survival_data!Y8</f>
        <v>28</v>
      </c>
      <c r="F67" s="32" t="str">
        <f>survival_data!Z8</f>
        <v>Safety and Function</v>
      </c>
      <c r="G67" s="32">
        <f>survival_data!M8</f>
        <v>1050</v>
      </c>
      <c r="H67" s="32" t="str">
        <f>survival_data!AA8</f>
        <v>polychromatic short crested head-on</v>
      </c>
      <c r="I67" s="32" t="str">
        <f>survival_data!AB8</f>
        <v>JONSWAP</v>
      </c>
      <c r="J67" s="32">
        <f>survival_data!AC8</f>
        <v>0.35539999999999999</v>
      </c>
      <c r="K67" s="32">
        <f>survival_data!AD8</f>
        <v>2.3529</v>
      </c>
      <c r="L67" s="32">
        <f>survival_data!AE8</f>
        <v>0</v>
      </c>
      <c r="M67" s="32">
        <f>survival_data!AF8</f>
        <v>4.58E-2</v>
      </c>
      <c r="N67" s="32">
        <f>survival_data!AG8</f>
        <v>0</v>
      </c>
      <c r="O67" s="32" t="str">
        <f>survival_data!AH8</f>
        <v>cos2s</v>
      </c>
      <c r="P67" s="32">
        <f>survival_data!AI8</f>
        <v>7</v>
      </c>
      <c r="Q67" s="32">
        <f>survival_data!AJ8</f>
        <v>137.01310000000001</v>
      </c>
      <c r="R67" s="32">
        <f>survival_data!AK8</f>
        <v>2.2286000000000001</v>
      </c>
      <c r="S67" s="32">
        <f>survival_data!AL8</f>
        <v>1.2048000000000001</v>
      </c>
      <c r="T67" s="32">
        <f>survival_data!AM8</f>
        <v>4.3</v>
      </c>
      <c r="U67" s="32">
        <f>survival_data!AN8</f>
        <v>0</v>
      </c>
      <c r="V67" s="32">
        <f>survival_data!AO8</f>
        <v>1000</v>
      </c>
      <c r="W67" s="33" t="s">
        <v>14</v>
      </c>
      <c r="X67" s="33" t="s">
        <v>190</v>
      </c>
      <c r="Z67" s="33" t="s">
        <v>459</v>
      </c>
      <c r="AA67" s="32" t="s">
        <v>597</v>
      </c>
      <c r="AB67" s="152" t="str">
        <f>survival_data!AQ8</f>
        <v>Other</v>
      </c>
      <c r="AC67" s="32" t="s">
        <v>598</v>
      </c>
      <c r="AD67" s="154">
        <f>survival_data!P8</f>
        <v>6.9358630000000003</v>
      </c>
      <c r="AE67" s="154">
        <f>survival_data!Q8</f>
        <v>8.0486079999999998</v>
      </c>
      <c r="AF67" s="154">
        <f>survival_data!S8</f>
        <v>40.737859999999998</v>
      </c>
      <c r="AG67" s="154">
        <f>survival_data!R8</f>
        <v>-17.94134</v>
      </c>
      <c r="AU67" s="154">
        <f>survival_data!N8</f>
        <v>13.996600000000001</v>
      </c>
      <c r="AV67" s="154">
        <f>survival_data!O8</f>
        <v>20.956910000000001</v>
      </c>
      <c r="BA67" s="154">
        <f>survival_data!W8</f>
        <v>12.908609999999999</v>
      </c>
      <c r="BB67" s="154">
        <f>survival_data!X8</f>
        <v>9.2983209999999996</v>
      </c>
      <c r="BC67" s="32" t="s">
        <v>599</v>
      </c>
      <c r="BD67" s="154">
        <f>survival_data!T8</f>
        <v>-2.7256499999999999</v>
      </c>
      <c r="BE67" s="154">
        <f>survival_data!U8</f>
        <v>-2.7256499999999999</v>
      </c>
      <c r="BF67" s="154">
        <f>survival_data!V8</f>
        <v>217.10929999999999</v>
      </c>
      <c r="BS67" s="32">
        <f t="shared" ref="BS63:BS76" si="1">BA67/Q67</f>
        <v>9.4214421832656867E-2</v>
      </c>
    </row>
    <row r="68" spans="1:71" ht="45" x14ac:dyDescent="0.25">
      <c r="A68" s="32" t="str">
        <f>survival_data!A9</f>
        <v>wc10_ex7_0201025698.mat</v>
      </c>
      <c r="B68" s="32" t="str">
        <f>survival_data!J9</f>
        <v>2018-02-01-14:56:98-04</v>
      </c>
      <c r="C68" s="32">
        <f>survival_data!AP9</f>
        <v>2</v>
      </c>
      <c r="D68" s="32">
        <f>survival_data!Y9</f>
        <v>28</v>
      </c>
      <c r="F68" s="32" t="str">
        <f>survival_data!Z9</f>
        <v>Safety and Function</v>
      </c>
      <c r="G68" s="32">
        <f>survival_data!M9</f>
        <v>1046</v>
      </c>
      <c r="H68" s="32" t="str">
        <f>survival_data!AA9</f>
        <v>polychromatic short crested head-on</v>
      </c>
      <c r="I68" s="32" t="str">
        <f>survival_data!AB9</f>
        <v>JONSWAP</v>
      </c>
      <c r="J68" s="32">
        <f>survival_data!AC9</f>
        <v>0.35539999999999999</v>
      </c>
      <c r="K68" s="32">
        <f>survival_data!AD9</f>
        <v>2.3529</v>
      </c>
      <c r="L68" s="32">
        <f>survival_data!AE9</f>
        <v>0</v>
      </c>
      <c r="M68" s="32">
        <f>survival_data!AF9</f>
        <v>4.58E-2</v>
      </c>
      <c r="N68" s="32">
        <f>survival_data!AG9</f>
        <v>0</v>
      </c>
      <c r="O68" s="32" t="str">
        <f>survival_data!AH9</f>
        <v>cos2s</v>
      </c>
      <c r="P68" s="32">
        <f>survival_data!AI9</f>
        <v>7</v>
      </c>
      <c r="Q68" s="32">
        <f>survival_data!AJ9</f>
        <v>137.01310000000001</v>
      </c>
      <c r="R68" s="32">
        <f>survival_data!AK9</f>
        <v>2.2286000000000001</v>
      </c>
      <c r="S68" s="32">
        <f>survival_data!AL9</f>
        <v>1.2048000000000001</v>
      </c>
      <c r="T68" s="32">
        <f>survival_data!AM9</f>
        <v>4.3</v>
      </c>
      <c r="U68" s="32">
        <f>survival_data!AN9</f>
        <v>0</v>
      </c>
      <c r="V68" s="32">
        <f>survival_data!AO9</f>
        <v>1000</v>
      </c>
      <c r="W68" s="33" t="s">
        <v>14</v>
      </c>
      <c r="X68" s="33" t="s">
        <v>190</v>
      </c>
      <c r="Z68" s="33" t="s">
        <v>459</v>
      </c>
      <c r="AA68" s="32" t="s">
        <v>597</v>
      </c>
      <c r="AB68" s="152" t="str">
        <f>survival_data!AQ9</f>
        <v>Other</v>
      </c>
      <c r="AC68" s="32" t="s">
        <v>598</v>
      </c>
      <c r="AD68" s="154">
        <f>survival_data!P9</f>
        <v>7.2113820000000004</v>
      </c>
      <c r="AE68" s="154">
        <f>survival_data!Q9</f>
        <v>8.0955259999999996</v>
      </c>
      <c r="AF68" s="154">
        <f>survival_data!S9</f>
        <v>41.589790000000001</v>
      </c>
      <c r="AG68" s="154">
        <f>survival_data!R9</f>
        <v>-19.713920000000002</v>
      </c>
      <c r="AU68" s="154">
        <f>survival_data!N9</f>
        <v>14.332800000000001</v>
      </c>
      <c r="AV68" s="154">
        <f>survival_data!O9</f>
        <v>21.38973</v>
      </c>
      <c r="BA68" s="154">
        <f>survival_data!W9</f>
        <v>13.228960000000001</v>
      </c>
      <c r="BB68" s="154">
        <f>survival_data!X9</f>
        <v>9.5118220000000004</v>
      </c>
      <c r="BC68" s="32" t="s">
        <v>599</v>
      </c>
      <c r="BD68" s="154">
        <f>survival_data!T9</f>
        <v>-2.7104010000000001</v>
      </c>
      <c r="BE68" s="154">
        <f>survival_data!U9</f>
        <v>-2.7104010000000001</v>
      </c>
      <c r="BF68" s="154">
        <f>survival_data!V9</f>
        <v>216.0513</v>
      </c>
      <c r="BS68" s="32">
        <f t="shared" si="1"/>
        <v>9.655251943062379E-2</v>
      </c>
    </row>
    <row r="69" spans="1:71" ht="45" x14ac:dyDescent="0.25">
      <c r="A69" s="32" t="str">
        <f>survival_data!A10</f>
        <v>wc6_ex3_0201023555.mat</v>
      </c>
      <c r="B69" s="32" t="str">
        <f>survival_data!J10</f>
        <v>2018-02-01-14:35:55-04</v>
      </c>
      <c r="C69" s="32">
        <f>survival_data!AP10</f>
        <v>1</v>
      </c>
      <c r="D69" s="32">
        <f>survival_data!Y10</f>
        <v>26</v>
      </c>
      <c r="F69" s="32" t="str">
        <f>survival_data!Z10</f>
        <v>Safety and Function</v>
      </c>
      <c r="G69" s="32">
        <f>survival_data!M10</f>
        <v>960</v>
      </c>
      <c r="H69" s="32" t="str">
        <f>survival_data!AA10</f>
        <v>polychromatic long-crested head-on</v>
      </c>
      <c r="I69" s="32" t="str">
        <f>survival_data!AB10</f>
        <v>Bretschneider Spectrum</v>
      </c>
      <c r="J69" s="32">
        <f>survival_data!AC10</f>
        <v>0.20780000000000001</v>
      </c>
      <c r="K69" s="32">
        <f>survival_data!AD10</f>
        <v>2.0706000000000002</v>
      </c>
      <c r="L69" s="32" t="str">
        <f>survival_data!AE10</f>
        <v xml:space="preserve"> </v>
      </c>
      <c r="M69" s="32">
        <f>survival_data!AF10</f>
        <v>3.9399999999999998E-2</v>
      </c>
      <c r="N69" s="32">
        <f>survival_data!AG10</f>
        <v>0</v>
      </c>
      <c r="O69" s="32" t="str">
        <f>survival_data!AH10</f>
        <v xml:space="preserve"> </v>
      </c>
      <c r="P69" s="32" t="str">
        <f>survival_data!AI10</f>
        <v xml:space="preserve"> </v>
      </c>
      <c r="Q69" s="32">
        <f>survival_data!AJ10</f>
        <v>38.299300000000002</v>
      </c>
      <c r="R69" s="32">
        <f>survival_data!AK10</f>
        <v>1.8373999999999999</v>
      </c>
      <c r="S69" s="32">
        <f>survival_data!AL10</f>
        <v>0.47899999999999998</v>
      </c>
      <c r="T69" s="32">
        <f>survival_data!AM10</f>
        <v>4.3</v>
      </c>
      <c r="U69" s="32" t="str">
        <f>survival_data!AN10</f>
        <v xml:space="preserve"> </v>
      </c>
      <c r="V69" s="32">
        <f>survival_data!AO10</f>
        <v>1000</v>
      </c>
      <c r="W69" s="33" t="s">
        <v>14</v>
      </c>
      <c r="X69" s="33" t="s">
        <v>190</v>
      </c>
      <c r="Z69" s="33" t="s">
        <v>459</v>
      </c>
      <c r="AA69" s="32" t="s">
        <v>597</v>
      </c>
      <c r="AB69" s="152" t="str">
        <f>survival_data!AQ10</f>
        <v>Other</v>
      </c>
      <c r="AC69" s="32" t="s">
        <v>598</v>
      </c>
      <c r="AD69" s="154">
        <f>survival_data!P10</f>
        <v>0.5768295</v>
      </c>
      <c r="AE69" s="154">
        <f>survival_data!Q10</f>
        <v>6.788386</v>
      </c>
      <c r="AF69" s="154">
        <f>survival_data!S10</f>
        <v>26.451370000000001</v>
      </c>
      <c r="AG69" s="154">
        <f>survival_data!R10</f>
        <v>-24.952439999999999</v>
      </c>
      <c r="AU69" s="154">
        <f>survival_data!N10</f>
        <v>1.0298130000000001</v>
      </c>
      <c r="AV69" s="154">
        <f>survival_data!O10</f>
        <v>1.4770430000000001</v>
      </c>
      <c r="BA69" s="154">
        <f>survival_data!W10</f>
        <v>0</v>
      </c>
      <c r="BB69" s="154">
        <f>survival_data!X10</f>
        <v>0</v>
      </c>
      <c r="BC69" s="32" t="s">
        <v>599</v>
      </c>
      <c r="BD69" s="154">
        <f>survival_data!T10</f>
        <v>0.40382050000000003</v>
      </c>
      <c r="BE69" s="154">
        <f>survival_data!U10</f>
        <v>0.40382050000000003</v>
      </c>
      <c r="BF69" s="154">
        <f>survival_data!V10</f>
        <v>14.95337</v>
      </c>
      <c r="BS69" s="32">
        <f t="shared" si="1"/>
        <v>0</v>
      </c>
    </row>
    <row r="70" spans="1:71" ht="45" x14ac:dyDescent="0.25">
      <c r="A70" s="32" t="str">
        <f>survival_data!A11</f>
        <v>wc6_ex2_0201105556.mat</v>
      </c>
      <c r="B70" s="32" t="str">
        <f>survival_data!J11</f>
        <v>2018-02-01-10:55:56-04</v>
      </c>
      <c r="C70" s="32">
        <f>survival_data!AP11</f>
        <v>1</v>
      </c>
      <c r="D70" s="32">
        <f>survival_data!Y11</f>
        <v>28</v>
      </c>
      <c r="F70" s="32" t="str">
        <f>survival_data!Z11</f>
        <v>Safety and Function</v>
      </c>
      <c r="G70" s="32">
        <f>survival_data!M11</f>
        <v>964</v>
      </c>
      <c r="H70" s="32" t="str">
        <f>survival_data!AA11</f>
        <v>polychromatic long-crested head-on</v>
      </c>
      <c r="I70" s="32" t="str">
        <f>survival_data!AB11</f>
        <v>Bretschneider Spectrum</v>
      </c>
      <c r="J70" s="32">
        <f>survival_data!AC11</f>
        <v>0.20780000000000001</v>
      </c>
      <c r="K70" s="32">
        <f>survival_data!AD11</f>
        <v>2.0706000000000002</v>
      </c>
      <c r="L70" s="32" t="str">
        <f>survival_data!AE11</f>
        <v xml:space="preserve"> </v>
      </c>
      <c r="M70" s="32">
        <f>survival_data!AF11</f>
        <v>3.9399999999999998E-2</v>
      </c>
      <c r="N70" s="32">
        <f>survival_data!AG11</f>
        <v>0</v>
      </c>
      <c r="O70" s="32" t="str">
        <f>survival_data!AH11</f>
        <v xml:space="preserve"> </v>
      </c>
      <c r="P70" s="32" t="str">
        <f>survival_data!AI11</f>
        <v xml:space="preserve"> </v>
      </c>
      <c r="Q70" s="32">
        <f>survival_data!AJ11</f>
        <v>38.299300000000002</v>
      </c>
      <c r="R70" s="32">
        <f>survival_data!AK11</f>
        <v>1.8373999999999999</v>
      </c>
      <c r="S70" s="32">
        <f>survival_data!AL11</f>
        <v>0.47899999999999998</v>
      </c>
      <c r="T70" s="32">
        <f>survival_data!AM11</f>
        <v>4.3</v>
      </c>
      <c r="U70" s="32" t="str">
        <f>survival_data!AN11</f>
        <v xml:space="preserve"> </v>
      </c>
      <c r="V70" s="32">
        <f>survival_data!AO11</f>
        <v>1000</v>
      </c>
      <c r="W70" s="33" t="s">
        <v>14</v>
      </c>
      <c r="X70" s="33" t="s">
        <v>190</v>
      </c>
      <c r="Z70" s="33" t="s">
        <v>459</v>
      </c>
      <c r="AA70" s="32" t="s">
        <v>597</v>
      </c>
      <c r="AB70" s="152" t="str">
        <f>survival_data!AQ11</f>
        <v>Other</v>
      </c>
      <c r="AC70" s="32" t="s">
        <v>598</v>
      </c>
      <c r="AD70" s="154">
        <f>survival_data!P11</f>
        <v>4.8849090000000004</v>
      </c>
      <c r="AE70" s="154">
        <f>survival_data!Q11</f>
        <v>5.5020699999999998</v>
      </c>
      <c r="AF70" s="154">
        <f>survival_data!S11</f>
        <v>27.843319999999999</v>
      </c>
      <c r="AG70" s="154">
        <f>survival_data!R11</f>
        <v>-18.055119999999999</v>
      </c>
      <c r="AU70" s="154">
        <f>survival_data!N11</f>
        <v>6.6614279999999999</v>
      </c>
      <c r="AV70" s="154">
        <f>survival_data!O11</f>
        <v>10.51257</v>
      </c>
      <c r="BA70" s="154">
        <f>survival_data!W11</f>
        <v>6.1625399999999999</v>
      </c>
      <c r="BB70" s="154">
        <f>survival_data!X11</f>
        <v>3.7656529999999999</v>
      </c>
      <c r="BC70" s="32" t="s">
        <v>599</v>
      </c>
      <c r="BD70" s="154">
        <f>survival_data!T11</f>
        <v>-0.79755860000000001</v>
      </c>
      <c r="BE70" s="154">
        <f>survival_data!U11</f>
        <v>-0.79755860000000001</v>
      </c>
      <c r="BF70" s="154">
        <f>survival_data!V11</f>
        <v>176.69229999999999</v>
      </c>
      <c r="BS70" s="32">
        <f t="shared" si="1"/>
        <v>0.16090476849446333</v>
      </c>
    </row>
    <row r="71" spans="1:71" ht="45" x14ac:dyDescent="0.25">
      <c r="A71" s="32" t="str">
        <f>survival_data!A12</f>
        <v>wc9_ex1_0201111779.mat</v>
      </c>
      <c r="B71" s="32" t="str">
        <f>survival_data!J12</f>
        <v>2018-02-01-11:17:79-04</v>
      </c>
      <c r="C71" s="32">
        <f>survival_data!AP12</f>
        <v>1</v>
      </c>
      <c r="D71" s="32">
        <f>survival_data!Y12</f>
        <v>29</v>
      </c>
      <c r="F71" s="32" t="str">
        <f>survival_data!Z12</f>
        <v>Safety and Function</v>
      </c>
      <c r="G71" s="32">
        <f>survival_data!M12</f>
        <v>1050</v>
      </c>
      <c r="H71" s="32" t="str">
        <f>survival_data!AA12</f>
        <v>polychromatic short crested head-on</v>
      </c>
      <c r="I71" s="32" t="str">
        <f>survival_data!AB12</f>
        <v>JONSWAP</v>
      </c>
      <c r="J71" s="32">
        <f>survival_data!AC12</f>
        <v>0.27439999999999998</v>
      </c>
      <c r="K71" s="32">
        <f>survival_data!AD12</f>
        <v>1.8181</v>
      </c>
      <c r="L71" s="32">
        <f>survival_data!AE12</f>
        <v>0</v>
      </c>
      <c r="M71" s="32">
        <f>survival_data!AF12</f>
        <v>5.79E-2</v>
      </c>
      <c r="N71" s="32">
        <f>survival_data!AG12</f>
        <v>0</v>
      </c>
      <c r="O71" s="32" t="str">
        <f>survival_data!AH12</f>
        <v>cos2s</v>
      </c>
      <c r="P71" s="32">
        <f>survival_data!AI12</f>
        <v>7</v>
      </c>
      <c r="Q71" s="32">
        <f>survival_data!AJ12</f>
        <v>62.6492</v>
      </c>
      <c r="R71" s="32">
        <f>survival_data!AK12</f>
        <v>1.7427999999999999</v>
      </c>
      <c r="S71" s="32">
        <f>survival_data!AL12</f>
        <v>0.94710000000000005</v>
      </c>
      <c r="T71" s="32">
        <f>survival_data!AM12</f>
        <v>4.3</v>
      </c>
      <c r="U71" s="32">
        <f>survival_data!AN12</f>
        <v>0</v>
      </c>
      <c r="V71" s="32">
        <f>survival_data!AO12</f>
        <v>1000</v>
      </c>
      <c r="W71" s="33" t="s">
        <v>14</v>
      </c>
      <c r="X71" s="33" t="s">
        <v>190</v>
      </c>
      <c r="Z71" s="33" t="s">
        <v>459</v>
      </c>
      <c r="AA71" s="32" t="s">
        <v>597</v>
      </c>
      <c r="AB71" s="152" t="str">
        <f>survival_data!AQ12</f>
        <v>Linear Damping</v>
      </c>
      <c r="AC71" s="32" t="s">
        <v>598</v>
      </c>
      <c r="AD71" s="154">
        <f>survival_data!P12</f>
        <v>5.9382359999999998</v>
      </c>
      <c r="AE71" s="154">
        <f>survival_data!Q12</f>
        <v>2.6430500000000001</v>
      </c>
      <c r="AF71" s="154">
        <f>survival_data!S12</f>
        <v>15.5502</v>
      </c>
      <c r="AG71" s="154">
        <f>survival_data!R12</f>
        <v>-2.3208899999999999</v>
      </c>
      <c r="AU71" s="154">
        <f>survival_data!N12</f>
        <v>7.6381399999999999</v>
      </c>
      <c r="AV71" s="154">
        <f>survival_data!O12</f>
        <v>9.5085859999999993</v>
      </c>
      <c r="BA71" s="154">
        <f>survival_data!W12</f>
        <v>0</v>
      </c>
      <c r="BB71" s="154">
        <f>survival_data!X12</f>
        <v>0</v>
      </c>
      <c r="BC71" s="32" t="s">
        <v>599</v>
      </c>
      <c r="BD71" s="154">
        <f>survival_data!T12</f>
        <v>0.25802340000000001</v>
      </c>
      <c r="BE71" s="154">
        <f>survival_data!U12</f>
        <v>0.25802340000000001</v>
      </c>
      <c r="BF71" s="154">
        <f>survival_data!V12</f>
        <v>201.70519999999999</v>
      </c>
      <c r="BS71" s="32">
        <f>AU71/Q71</f>
        <v>0.12191919449889224</v>
      </c>
    </row>
    <row r="72" spans="1:71" ht="45" x14ac:dyDescent="0.25">
      <c r="A72" s="32" t="str">
        <f>survival_data!A13</f>
        <v>wc9_ex2_0201112736.mat</v>
      </c>
      <c r="B72" s="32" t="str">
        <f>survival_data!J13</f>
        <v>2018-02-01-11:27:36-04</v>
      </c>
      <c r="C72" s="32">
        <f>survival_data!AP13</f>
        <v>1</v>
      </c>
      <c r="D72" s="32">
        <f>survival_data!Y13</f>
        <v>28</v>
      </c>
      <c r="F72" s="32" t="str">
        <f>survival_data!Z13</f>
        <v>Safety and Function</v>
      </c>
      <c r="G72" s="32">
        <f>survival_data!M13</f>
        <v>140</v>
      </c>
      <c r="H72" s="32" t="str">
        <f>survival_data!AA13</f>
        <v>polychromatic short crested head-on</v>
      </c>
      <c r="I72" s="32" t="str">
        <f>survival_data!AB13</f>
        <v>JONSWAP</v>
      </c>
      <c r="J72" s="32">
        <f>survival_data!AC13</f>
        <v>0.27439999999999998</v>
      </c>
      <c r="K72" s="32">
        <f>survival_data!AD13</f>
        <v>1.8181</v>
      </c>
      <c r="L72" s="32">
        <f>survival_data!AE13</f>
        <v>0</v>
      </c>
      <c r="M72" s="32">
        <f>survival_data!AF13</f>
        <v>5.79E-2</v>
      </c>
      <c r="N72" s="32">
        <f>survival_data!AG13</f>
        <v>0</v>
      </c>
      <c r="O72" s="32" t="str">
        <f>survival_data!AH13</f>
        <v>cos2s</v>
      </c>
      <c r="P72" s="32">
        <f>survival_data!AI13</f>
        <v>7</v>
      </c>
      <c r="Q72" s="32">
        <f>survival_data!AJ13</f>
        <v>62.6492</v>
      </c>
      <c r="R72" s="32">
        <f>survival_data!AK13</f>
        <v>1.7427999999999999</v>
      </c>
      <c r="S72" s="32">
        <f>survival_data!AL13</f>
        <v>0.94710000000000005</v>
      </c>
      <c r="T72" s="32">
        <f>survival_data!AM13</f>
        <v>4.3</v>
      </c>
      <c r="U72" s="32">
        <f>survival_data!AN13</f>
        <v>0</v>
      </c>
      <c r="V72" s="32">
        <f>survival_data!AO13</f>
        <v>1000</v>
      </c>
      <c r="W72" s="33" t="s">
        <v>14</v>
      </c>
      <c r="X72" s="33" t="s">
        <v>190</v>
      </c>
      <c r="Z72" s="33" t="s">
        <v>459</v>
      </c>
      <c r="AA72" s="32" t="s">
        <v>597</v>
      </c>
      <c r="AB72" s="152" t="str">
        <f>survival_data!AQ13</f>
        <v>Other</v>
      </c>
      <c r="AC72" s="32" t="s">
        <v>598</v>
      </c>
      <c r="AD72" s="154">
        <f>survival_data!P13</f>
        <v>5.301831</v>
      </c>
      <c r="AE72" s="154">
        <f>survival_data!Q13</f>
        <v>5.4844229999999996</v>
      </c>
      <c r="AF72" s="154">
        <f>survival_data!S13</f>
        <v>27.24409</v>
      </c>
      <c r="AG72" s="154">
        <f>survival_data!R13</f>
        <v>-12.489800000000001</v>
      </c>
      <c r="AU72" s="154">
        <f>survival_data!N13</f>
        <v>9.4947090000000003</v>
      </c>
      <c r="AV72" s="154">
        <f>survival_data!O13</f>
        <v>14.34174</v>
      </c>
      <c r="BA72" s="154">
        <f>survival_data!W13</f>
        <v>8.6312850000000001</v>
      </c>
      <c r="BB72" s="154">
        <f>survival_data!X13</f>
        <v>6.1105840000000002</v>
      </c>
      <c r="BC72" s="32" t="s">
        <v>599</v>
      </c>
      <c r="BD72" s="154">
        <f>survival_data!T13</f>
        <v>-0.96189519999999995</v>
      </c>
      <c r="BE72" s="154">
        <f>survival_data!U13</f>
        <v>-0.96189519999999995</v>
      </c>
      <c r="BF72" s="154">
        <f>survival_data!V13</f>
        <v>147.88239999999999</v>
      </c>
      <c r="BS72" s="32">
        <f t="shared" si="1"/>
        <v>0.13777167146587666</v>
      </c>
    </row>
    <row r="73" spans="1:71" ht="45" x14ac:dyDescent="0.25">
      <c r="A73" s="32" t="str">
        <f>survival_data!A14</f>
        <v>wc9_ex3_0201113646.mat</v>
      </c>
      <c r="B73" s="32" t="str">
        <f>survival_data!J14</f>
        <v>2018-02-01-11:36:46-04</v>
      </c>
      <c r="C73" s="32">
        <f>survival_data!AP14</f>
        <v>1</v>
      </c>
      <c r="D73" s="32">
        <f>survival_data!Y14</f>
        <v>28</v>
      </c>
      <c r="F73" s="32" t="str">
        <f>survival_data!Z14</f>
        <v>Safety and Function</v>
      </c>
      <c r="G73" s="32">
        <f>survival_data!M14</f>
        <v>169</v>
      </c>
      <c r="H73" s="32" t="str">
        <f>survival_data!AA14</f>
        <v>polychromatic short crested head-on</v>
      </c>
      <c r="I73" s="32" t="str">
        <f>survival_data!AB14</f>
        <v>JONSWAP</v>
      </c>
      <c r="J73" s="32">
        <f>survival_data!AC14</f>
        <v>0.27439999999999998</v>
      </c>
      <c r="K73" s="32">
        <f>survival_data!AD14</f>
        <v>1.8181</v>
      </c>
      <c r="L73" s="32">
        <f>survival_data!AE14</f>
        <v>0</v>
      </c>
      <c r="M73" s="32">
        <f>survival_data!AF14</f>
        <v>5.79E-2</v>
      </c>
      <c r="N73" s="32">
        <f>survival_data!AG14</f>
        <v>0</v>
      </c>
      <c r="O73" s="32" t="str">
        <f>survival_data!AH14</f>
        <v>cos2s</v>
      </c>
      <c r="P73" s="32">
        <f>survival_data!AI14</f>
        <v>7</v>
      </c>
      <c r="Q73" s="32">
        <f>survival_data!AJ14</f>
        <v>62.6492</v>
      </c>
      <c r="R73" s="32">
        <f>survival_data!AK14</f>
        <v>1.7427999999999999</v>
      </c>
      <c r="S73" s="32">
        <f>survival_data!AL14</f>
        <v>0.94710000000000005</v>
      </c>
      <c r="T73" s="32">
        <f>survival_data!AM14</f>
        <v>4.3</v>
      </c>
      <c r="U73" s="32">
        <f>survival_data!AN14</f>
        <v>0</v>
      </c>
      <c r="V73" s="32">
        <f>survival_data!AO14</f>
        <v>1000</v>
      </c>
      <c r="W73" s="33" t="s">
        <v>14</v>
      </c>
      <c r="X73" s="33" t="s">
        <v>190</v>
      </c>
      <c r="Z73" s="33" t="s">
        <v>459</v>
      </c>
      <c r="AA73" s="32" t="s">
        <v>597</v>
      </c>
      <c r="AB73" s="152" t="str">
        <f>survival_data!AQ14</f>
        <v>Other</v>
      </c>
      <c r="AC73" s="32" t="s">
        <v>598</v>
      </c>
      <c r="AD73" s="154">
        <f>survival_data!P14</f>
        <v>5.0889129999999998</v>
      </c>
      <c r="AE73" s="154">
        <f>survival_data!Q14</f>
        <v>5.1783900000000003</v>
      </c>
      <c r="AF73" s="154">
        <f>survival_data!S14</f>
        <v>26.944089999999999</v>
      </c>
      <c r="AG73" s="154">
        <f>survival_data!R14</f>
        <v>-10.44605</v>
      </c>
      <c r="AU73" s="154">
        <f>survival_data!N14</f>
        <v>8.7601370000000003</v>
      </c>
      <c r="AV73" s="154">
        <f>survival_data!O14</f>
        <v>13.724600000000001</v>
      </c>
      <c r="BA73" s="154">
        <f>survival_data!W14</f>
        <v>8.0354109999999999</v>
      </c>
      <c r="BB73" s="154">
        <f>survival_data!X14</f>
        <v>5.9643459999999999</v>
      </c>
      <c r="BC73" s="32" t="s">
        <v>599</v>
      </c>
      <c r="BD73" s="154">
        <f>survival_data!T14</f>
        <v>-1.1326849999999999</v>
      </c>
      <c r="BE73" s="154">
        <f>survival_data!U14</f>
        <v>-1.1326849999999999</v>
      </c>
      <c r="BF73" s="154">
        <f>survival_data!V14</f>
        <v>163.32689999999999</v>
      </c>
      <c r="BS73" s="32">
        <f t="shared" si="1"/>
        <v>0.12826039279033091</v>
      </c>
    </row>
    <row r="74" spans="1:71" ht="45" x14ac:dyDescent="0.25">
      <c r="A74" s="32" t="str">
        <f>survival_data!A15</f>
        <v>wc9_ex4_0201114749.mat</v>
      </c>
      <c r="B74" s="32" t="str">
        <f>survival_data!J15</f>
        <v>2018-02-01-11:47:49-04</v>
      </c>
      <c r="C74" s="32">
        <f>survival_data!AP15</f>
        <v>1</v>
      </c>
      <c r="D74" s="32">
        <f>survival_data!Y15</f>
        <v>27</v>
      </c>
      <c r="F74" s="32" t="str">
        <f>survival_data!Z15</f>
        <v>Safety and Function</v>
      </c>
      <c r="G74" s="32">
        <f>survival_data!M15</f>
        <v>155</v>
      </c>
      <c r="H74" s="32" t="str">
        <f>survival_data!AA15</f>
        <v>polychromatic short crested head-on</v>
      </c>
      <c r="I74" s="32" t="str">
        <f>survival_data!AB15</f>
        <v>JONSWAP</v>
      </c>
      <c r="J74" s="32">
        <f>survival_data!AC15</f>
        <v>0.27439999999999998</v>
      </c>
      <c r="K74" s="32">
        <f>survival_data!AD15</f>
        <v>1.8181</v>
      </c>
      <c r="L74" s="32">
        <f>survival_data!AE15</f>
        <v>0</v>
      </c>
      <c r="M74" s="32">
        <f>survival_data!AF15</f>
        <v>5.79E-2</v>
      </c>
      <c r="N74" s="32">
        <f>survival_data!AG15</f>
        <v>0</v>
      </c>
      <c r="O74" s="32" t="str">
        <f>survival_data!AH15</f>
        <v>cos2s</v>
      </c>
      <c r="P74" s="32">
        <f>survival_data!AI15</f>
        <v>7</v>
      </c>
      <c r="Q74" s="32">
        <f>survival_data!AJ15</f>
        <v>62.6492</v>
      </c>
      <c r="R74" s="32">
        <f>survival_data!AK15</f>
        <v>1.7427999999999999</v>
      </c>
      <c r="S74" s="32">
        <f>survival_data!AL15</f>
        <v>0.94710000000000005</v>
      </c>
      <c r="T74" s="32">
        <f>survival_data!AM15</f>
        <v>4.3</v>
      </c>
      <c r="U74" s="32">
        <f>survival_data!AN15</f>
        <v>0</v>
      </c>
      <c r="V74" s="32">
        <f>survival_data!AO15</f>
        <v>1000</v>
      </c>
      <c r="W74" s="33" t="s">
        <v>14</v>
      </c>
      <c r="X74" s="33" t="s">
        <v>190</v>
      </c>
      <c r="Z74" s="33" t="s">
        <v>459</v>
      </c>
      <c r="AA74" s="32" t="s">
        <v>597</v>
      </c>
      <c r="AB74" s="152" t="str">
        <f>survival_data!AQ15</f>
        <v>Other</v>
      </c>
      <c r="AC74" s="32" t="s">
        <v>598</v>
      </c>
      <c r="AD74" s="154">
        <f>survival_data!P15</f>
        <v>4.4307809999999996</v>
      </c>
      <c r="AE74" s="154">
        <f>survival_data!Q15</f>
        <v>5.6714909999999996</v>
      </c>
      <c r="AF74" s="154">
        <f>survival_data!S15</f>
        <v>28.823329999999999</v>
      </c>
      <c r="AG74" s="154">
        <f>survival_data!R15</f>
        <v>-11.69181</v>
      </c>
      <c r="AU74" s="154">
        <f>survival_data!N15</f>
        <v>10.21593</v>
      </c>
      <c r="AV74" s="154">
        <f>survival_data!O15</f>
        <v>14.45998</v>
      </c>
      <c r="BA74" s="154">
        <f>survival_data!W15</f>
        <v>9.0584559999999996</v>
      </c>
      <c r="BB74" s="154">
        <f>survival_data!X15</f>
        <v>6.362527</v>
      </c>
      <c r="BC74" s="32" t="s">
        <v>599</v>
      </c>
      <c r="BD74" s="154">
        <f>survival_data!T15</f>
        <v>-0.86790900000000004</v>
      </c>
      <c r="BE74" s="154">
        <f>survival_data!U15</f>
        <v>-0.86790900000000004</v>
      </c>
      <c r="BF74" s="154">
        <f>survival_data!V15</f>
        <v>140.55869999999999</v>
      </c>
      <c r="BS74" s="32">
        <f t="shared" si="1"/>
        <v>0.14459013044061217</v>
      </c>
    </row>
    <row r="75" spans="1:71" ht="45" x14ac:dyDescent="0.25">
      <c r="A75" s="32" t="str">
        <f>survival_data!A16</f>
        <v>wc9_ex5_0201115344.mat</v>
      </c>
      <c r="B75" s="32" t="str">
        <f>survival_data!J16</f>
        <v>2018-02-01-11:53:44-04</v>
      </c>
      <c r="C75" s="32">
        <f>survival_data!AP16</f>
        <v>1</v>
      </c>
      <c r="D75" s="32">
        <f>survival_data!Y16</f>
        <v>27</v>
      </c>
      <c r="F75" s="32" t="str">
        <f>survival_data!Z16</f>
        <v>Safety and Function</v>
      </c>
      <c r="G75" s="32">
        <f>survival_data!M16</f>
        <v>159</v>
      </c>
      <c r="H75" s="32" t="str">
        <f>survival_data!AA16</f>
        <v>polychromatic short crested head-on</v>
      </c>
      <c r="I75" s="32" t="str">
        <f>survival_data!AB16</f>
        <v>JONSWAP</v>
      </c>
      <c r="J75" s="32">
        <f>survival_data!AC16</f>
        <v>0.27439999999999998</v>
      </c>
      <c r="K75" s="32">
        <f>survival_data!AD16</f>
        <v>1.8181</v>
      </c>
      <c r="L75" s="32">
        <f>survival_data!AE16</f>
        <v>0</v>
      </c>
      <c r="M75" s="32">
        <f>survival_data!AF16</f>
        <v>5.79E-2</v>
      </c>
      <c r="N75" s="32">
        <f>survival_data!AG16</f>
        <v>0</v>
      </c>
      <c r="O75" s="32" t="str">
        <f>survival_data!AH16</f>
        <v>cos2s</v>
      </c>
      <c r="P75" s="32">
        <f>survival_data!AI16</f>
        <v>7</v>
      </c>
      <c r="Q75" s="32">
        <f>survival_data!AJ16</f>
        <v>62.6492</v>
      </c>
      <c r="R75" s="32">
        <f>survival_data!AK16</f>
        <v>1.7427999999999999</v>
      </c>
      <c r="S75" s="32">
        <f>survival_data!AL16</f>
        <v>0.94710000000000005</v>
      </c>
      <c r="T75" s="32">
        <f>survival_data!AM16</f>
        <v>4.3</v>
      </c>
      <c r="U75" s="32">
        <f>survival_data!AN16</f>
        <v>0</v>
      </c>
      <c r="V75" s="32">
        <f>survival_data!AO16</f>
        <v>1000</v>
      </c>
      <c r="W75" s="33" t="s">
        <v>14</v>
      </c>
      <c r="X75" s="33" t="s">
        <v>190</v>
      </c>
      <c r="Z75" s="33" t="s">
        <v>459</v>
      </c>
      <c r="AA75" s="32" t="s">
        <v>597</v>
      </c>
      <c r="AB75" s="152" t="str">
        <f>survival_data!AQ16</f>
        <v>Other</v>
      </c>
      <c r="AC75" s="32" t="s">
        <v>598</v>
      </c>
      <c r="AD75" s="154">
        <f>survival_data!P16</f>
        <v>4.5770869999999997</v>
      </c>
      <c r="AE75" s="154">
        <f>survival_data!Q16</f>
        <v>5.3399679999999998</v>
      </c>
      <c r="AF75" s="154">
        <f>survival_data!S16</f>
        <v>26.279949999999999</v>
      </c>
      <c r="AG75" s="154">
        <f>survival_data!R16</f>
        <v>-12.3553</v>
      </c>
      <c r="AU75" s="154">
        <f>survival_data!N16</f>
        <v>9.9225650000000005</v>
      </c>
      <c r="AV75" s="154">
        <f>survival_data!O16</f>
        <v>14.13522</v>
      </c>
      <c r="BA75" s="154">
        <f>survival_data!W16</f>
        <v>8.883896</v>
      </c>
      <c r="BB75" s="154">
        <f>survival_data!X16</f>
        <v>6.2238910000000001</v>
      </c>
      <c r="BC75" s="32" t="s">
        <v>599</v>
      </c>
      <c r="BD75" s="154">
        <f>survival_data!T16</f>
        <v>-1.0664</v>
      </c>
      <c r="BE75" s="154">
        <f>survival_data!U16</f>
        <v>-1.0664</v>
      </c>
      <c r="BF75" s="154">
        <f>survival_data!V16</f>
        <v>139.50649999999999</v>
      </c>
      <c r="BS75" s="32">
        <f t="shared" si="1"/>
        <v>0.14180382191632135</v>
      </c>
    </row>
    <row r="76" spans="1:71" ht="45" x14ac:dyDescent="0.25">
      <c r="A76" s="32" t="str">
        <f>survival_data!A17</f>
        <v>wc9_ex6_0201021452.mat</v>
      </c>
      <c r="B76" s="32" t="str">
        <f>survival_data!J17</f>
        <v>2018-02-01-14:14:52-04</v>
      </c>
      <c r="C76" s="32">
        <f>survival_data!AP17</f>
        <v>2</v>
      </c>
      <c r="D76" s="32">
        <f>survival_data!Y17</f>
        <v>27</v>
      </c>
      <c r="F76" s="32" t="str">
        <f>survival_data!Z17</f>
        <v>Safety and Function</v>
      </c>
      <c r="G76" s="32">
        <f>survival_data!M17</f>
        <v>1050</v>
      </c>
      <c r="H76" s="32" t="str">
        <f>survival_data!AA17</f>
        <v>polychromatic short crested head-on</v>
      </c>
      <c r="I76" s="32" t="str">
        <f>survival_data!AB17</f>
        <v>JONSWAP</v>
      </c>
      <c r="J76" s="32">
        <f>survival_data!AC17</f>
        <v>0.27439999999999998</v>
      </c>
      <c r="K76" s="32">
        <f>survival_data!AD17</f>
        <v>1.8181</v>
      </c>
      <c r="L76" s="32">
        <f>survival_data!AE17</f>
        <v>0</v>
      </c>
      <c r="M76" s="32">
        <f>survival_data!AF17</f>
        <v>5.79E-2</v>
      </c>
      <c r="N76" s="32">
        <f>survival_data!AG17</f>
        <v>0</v>
      </c>
      <c r="O76" s="32" t="str">
        <f>survival_data!AH17</f>
        <v>cos2s</v>
      </c>
      <c r="P76" s="32">
        <f>survival_data!AI17</f>
        <v>7</v>
      </c>
      <c r="Q76" s="32">
        <f>survival_data!AJ17</f>
        <v>62.6492</v>
      </c>
      <c r="R76" s="32">
        <f>survival_data!AK17</f>
        <v>1.7427999999999999</v>
      </c>
      <c r="S76" s="32">
        <f>survival_data!AL17</f>
        <v>0.94710000000000005</v>
      </c>
      <c r="T76" s="32">
        <f>survival_data!AM17</f>
        <v>4.3</v>
      </c>
      <c r="U76" s="32">
        <f>survival_data!AN17</f>
        <v>0</v>
      </c>
      <c r="V76" s="32">
        <f>survival_data!AO17</f>
        <v>1000</v>
      </c>
      <c r="W76" s="33" t="s">
        <v>14</v>
      </c>
      <c r="X76" s="33" t="s">
        <v>190</v>
      </c>
      <c r="Z76" s="33" t="s">
        <v>459</v>
      </c>
      <c r="AA76" s="32" t="s">
        <v>597</v>
      </c>
      <c r="AB76" s="152" t="str">
        <f>survival_data!AQ17</f>
        <v>Other</v>
      </c>
      <c r="AC76" s="32" t="s">
        <v>598</v>
      </c>
      <c r="AD76" s="154">
        <f>survival_data!P17</f>
        <v>4.336239</v>
      </c>
      <c r="AE76" s="154">
        <f>survival_data!Q17</f>
        <v>5.4346379999999996</v>
      </c>
      <c r="AF76" s="154">
        <f>survival_data!S17</f>
        <v>28.380120000000002</v>
      </c>
      <c r="AG76" s="154">
        <f>survival_data!R17</f>
        <v>-19.947520000000001</v>
      </c>
      <c r="AU76" s="154">
        <f>survival_data!N17</f>
        <v>11.00478</v>
      </c>
      <c r="AV76" s="154">
        <f>survival_data!O17</f>
        <v>15.56945</v>
      </c>
      <c r="BA76" s="154">
        <f>survival_data!W17</f>
        <v>9.9820779999999996</v>
      </c>
      <c r="BB76" s="154">
        <f>survival_data!X17</f>
        <v>6.7947249999999997</v>
      </c>
      <c r="BC76" s="32" t="s">
        <v>599</v>
      </c>
      <c r="BD76" s="154">
        <f>survival_data!T17</f>
        <v>0.43709880000000001</v>
      </c>
      <c r="BE76" s="154">
        <f>survival_data!U17</f>
        <v>0.43709880000000001</v>
      </c>
      <c r="BF76" s="154">
        <f>survival_data!V17</f>
        <v>171.81129999999999</v>
      </c>
      <c r="BS76" s="32">
        <f t="shared" si="1"/>
        <v>0.15933288852850475</v>
      </c>
    </row>
    <row r="77" spans="1:71" x14ac:dyDescent="0.25">
      <c r="W77" s="33"/>
      <c r="X77" s="33"/>
      <c r="Z77" s="33"/>
      <c r="AB77" s="152"/>
      <c r="AD77" s="154"/>
      <c r="AE77" s="154"/>
      <c r="AF77" s="154"/>
      <c r="AG77" s="154"/>
    </row>
    <row r="78" spans="1:71" x14ac:dyDescent="0.25">
      <c r="W78" s="33"/>
      <c r="X78" s="33"/>
      <c r="Z78" s="33"/>
      <c r="AB78" s="152"/>
      <c r="AD78" s="154"/>
      <c r="AE78" s="154"/>
      <c r="AF78" s="154"/>
      <c r="AG78" s="154"/>
    </row>
    <row r="79" spans="1:71" x14ac:dyDescent="0.25">
      <c r="W79" s="33"/>
      <c r="X79" s="33"/>
      <c r="Z79" s="33"/>
      <c r="AB79" s="152"/>
      <c r="AD79" s="154"/>
      <c r="AE79" s="154"/>
      <c r="AF79" s="154"/>
      <c r="AG79" s="154"/>
    </row>
    <row r="80" spans="1:71" x14ac:dyDescent="0.25">
      <c r="W80" s="33"/>
      <c r="X80" s="33"/>
      <c r="Z80" s="33"/>
      <c r="AB80" s="152"/>
      <c r="AD80" s="154"/>
      <c r="AE80" s="154"/>
      <c r="AF80" s="154"/>
      <c r="AG80" s="154"/>
    </row>
    <row r="81" spans="23:28" x14ac:dyDescent="0.25">
      <c r="W81" s="33"/>
      <c r="X81" s="33"/>
      <c r="Z81" s="33"/>
      <c r="AB81" s="31"/>
    </row>
    <row r="82" spans="23:28" x14ac:dyDescent="0.25">
      <c r="W82" s="33"/>
      <c r="X82" s="33"/>
      <c r="Z82" s="33"/>
      <c r="AB82" s="31"/>
    </row>
    <row r="83" spans="23:28" x14ac:dyDescent="0.25">
      <c r="W83" s="33"/>
      <c r="X83" s="33"/>
      <c r="Z83" s="33"/>
      <c r="AB83" s="31"/>
    </row>
    <row r="84" spans="23:28" x14ac:dyDescent="0.25">
      <c r="W84" s="33"/>
      <c r="X84" s="33"/>
      <c r="Z84" s="33"/>
      <c r="AB84" s="31"/>
    </row>
    <row r="85" spans="23:28" x14ac:dyDescent="0.25">
      <c r="W85" s="33"/>
      <c r="X85" s="33"/>
      <c r="Z85" s="33"/>
      <c r="AB85" s="31"/>
    </row>
    <row r="86" spans="23:28" x14ac:dyDescent="0.25">
      <c r="W86" s="33"/>
      <c r="X86" s="33"/>
      <c r="Z86" s="33"/>
      <c r="AB86" s="31"/>
    </row>
    <row r="87" spans="23:28" x14ac:dyDescent="0.25">
      <c r="W87" s="33"/>
      <c r="X87" s="33"/>
      <c r="Z87" s="33"/>
      <c r="AB87" s="31"/>
    </row>
    <row r="88" spans="23:28" x14ac:dyDescent="0.25">
      <c r="W88" s="33"/>
      <c r="X88" s="33"/>
      <c r="Z88" s="33"/>
      <c r="AB88" s="31"/>
    </row>
    <row r="89" spans="23:28" x14ac:dyDescent="0.25">
      <c r="W89" s="33"/>
      <c r="X89" s="33"/>
      <c r="Z89" s="33"/>
      <c r="AB89" s="31"/>
    </row>
    <row r="90" spans="23:28" x14ac:dyDescent="0.25">
      <c r="W90" s="33"/>
      <c r="X90" s="33"/>
      <c r="Z90" s="33"/>
      <c r="AB90" s="31"/>
    </row>
    <row r="91" spans="23:28" x14ac:dyDescent="0.25">
      <c r="W91" s="33"/>
      <c r="X91" s="33"/>
      <c r="Z91" s="33"/>
      <c r="AB91" s="31"/>
    </row>
    <row r="92" spans="23:28" x14ac:dyDescent="0.25">
      <c r="W92" s="33"/>
      <c r="X92" s="33"/>
      <c r="Z92" s="33"/>
      <c r="AB92" s="31"/>
    </row>
    <row r="93" spans="23:28" x14ac:dyDescent="0.25">
      <c r="W93" s="33"/>
      <c r="X93" s="33"/>
      <c r="Z93" s="33"/>
      <c r="AB93" s="31"/>
    </row>
    <row r="94" spans="23:28" x14ac:dyDescent="0.25">
      <c r="W94" s="33"/>
      <c r="X94" s="33"/>
      <c r="Z94" s="33"/>
      <c r="AB94" s="31"/>
    </row>
    <row r="95" spans="23:28" x14ac:dyDescent="0.25">
      <c r="W95" s="33"/>
      <c r="X95" s="33"/>
      <c r="Z95" s="33"/>
      <c r="AB95" s="31"/>
    </row>
    <row r="96" spans="23:28" x14ac:dyDescent="0.25">
      <c r="W96" s="33"/>
      <c r="X96" s="33"/>
      <c r="Z96" s="33"/>
      <c r="AB96" s="31"/>
    </row>
    <row r="97" spans="23:28" x14ac:dyDescent="0.25">
      <c r="W97" s="33"/>
      <c r="X97" s="33"/>
      <c r="Z97" s="33"/>
      <c r="AB97" s="31"/>
    </row>
    <row r="98" spans="23:28" x14ac:dyDescent="0.25">
      <c r="W98" s="33"/>
      <c r="X98" s="33"/>
      <c r="Z98" s="33"/>
      <c r="AB98" s="31"/>
    </row>
    <row r="99" spans="23:28" x14ac:dyDescent="0.25">
      <c r="W99" s="33"/>
      <c r="X99" s="33"/>
      <c r="Z99" s="33"/>
      <c r="AB99" s="31"/>
    </row>
    <row r="100" spans="23:28" x14ac:dyDescent="0.25">
      <c r="W100" s="33"/>
      <c r="X100" s="33"/>
      <c r="Z100" s="33"/>
      <c r="AB100" s="31"/>
    </row>
    <row r="101" spans="23:28" x14ac:dyDescent="0.25">
      <c r="W101" s="33"/>
      <c r="X101" s="33"/>
      <c r="Z101" s="33"/>
      <c r="AB101" s="31"/>
    </row>
    <row r="102" spans="23:28" x14ac:dyDescent="0.25">
      <c r="W102" s="33"/>
      <c r="X102" s="33"/>
      <c r="Z102" s="33"/>
      <c r="AB102" s="31"/>
    </row>
    <row r="103" spans="23:28" x14ac:dyDescent="0.25">
      <c r="W103" s="33"/>
      <c r="X103" s="33"/>
      <c r="Z103" s="33"/>
      <c r="AB103" s="31"/>
    </row>
    <row r="104" spans="23:28" x14ac:dyDescent="0.25">
      <c r="W104" s="33"/>
      <c r="X104" s="33"/>
      <c r="Z104" s="33"/>
      <c r="AB104" s="31"/>
    </row>
    <row r="105" spans="23:28" x14ac:dyDescent="0.25">
      <c r="W105" s="33"/>
      <c r="X105" s="33"/>
      <c r="Z105" s="33"/>
      <c r="AB105" s="31"/>
    </row>
    <row r="106" spans="23:28" x14ac:dyDescent="0.25">
      <c r="W106" s="33"/>
      <c r="X106" s="33"/>
      <c r="Z106" s="33"/>
      <c r="AB106" s="31"/>
    </row>
    <row r="107" spans="23:28" x14ac:dyDescent="0.25">
      <c r="W107" s="33"/>
      <c r="X107" s="33"/>
      <c r="Z107" s="33"/>
      <c r="AB107" s="31"/>
    </row>
    <row r="108" spans="23:28" x14ac:dyDescent="0.25">
      <c r="W108" s="33"/>
      <c r="X108" s="33"/>
      <c r="Z108" s="33"/>
      <c r="AB108" s="31"/>
    </row>
    <row r="109" spans="23:28" x14ac:dyDescent="0.25">
      <c r="W109" s="33"/>
      <c r="X109" s="33"/>
      <c r="Z109" s="33"/>
      <c r="AB109" s="31"/>
    </row>
    <row r="110" spans="23:28" x14ac:dyDescent="0.25">
      <c r="W110" s="33"/>
      <c r="X110" s="33"/>
      <c r="Z110" s="33"/>
      <c r="AB110" s="31"/>
    </row>
    <row r="111" spans="23:28" x14ac:dyDescent="0.25">
      <c r="W111" s="33"/>
      <c r="X111" s="33"/>
      <c r="Z111" s="33"/>
      <c r="AB111" s="31"/>
    </row>
    <row r="112" spans="23:28" x14ac:dyDescent="0.25">
      <c r="W112" s="33"/>
      <c r="X112" s="33"/>
      <c r="Z112" s="33"/>
      <c r="AB112" s="31"/>
    </row>
    <row r="113" spans="23:28" x14ac:dyDescent="0.25">
      <c r="W113" s="33"/>
      <c r="X113" s="33"/>
      <c r="Z113" s="33"/>
      <c r="AB113" s="31"/>
    </row>
    <row r="114" spans="23:28" x14ac:dyDescent="0.25">
      <c r="W114" s="33"/>
      <c r="X114" s="33"/>
      <c r="Z114" s="33"/>
      <c r="AB114" s="31"/>
    </row>
    <row r="115" spans="23:28" x14ac:dyDescent="0.25">
      <c r="W115" s="33"/>
      <c r="X115" s="33"/>
      <c r="Z115" s="33"/>
      <c r="AB115" s="31"/>
    </row>
    <row r="116" spans="23:28" x14ac:dyDescent="0.25">
      <c r="W116" s="33"/>
      <c r="X116" s="33"/>
      <c r="Z116" s="33"/>
      <c r="AB116" s="31"/>
    </row>
    <row r="117" spans="23:28" x14ac:dyDescent="0.25">
      <c r="W117" s="33"/>
      <c r="X117" s="33"/>
      <c r="Z117" s="33"/>
      <c r="AB117" s="31"/>
    </row>
    <row r="118" spans="23:28" x14ac:dyDescent="0.25">
      <c r="W118" s="33"/>
      <c r="X118" s="33"/>
      <c r="Z118" s="33"/>
      <c r="AB118" s="31"/>
    </row>
    <row r="119" spans="23:28" x14ac:dyDescent="0.25">
      <c r="W119" s="33"/>
      <c r="X119" s="33"/>
      <c r="Z119" s="33"/>
      <c r="AB119" s="31"/>
    </row>
    <row r="120" spans="23:28" x14ac:dyDescent="0.25">
      <c r="W120" s="33"/>
      <c r="X120" s="33"/>
      <c r="Z120" s="33"/>
      <c r="AB120" s="31"/>
    </row>
    <row r="121" spans="23:28" x14ac:dyDescent="0.25">
      <c r="W121" s="33"/>
      <c r="X121" s="33"/>
      <c r="Z121" s="33"/>
      <c r="AB121" s="31"/>
    </row>
    <row r="122" spans="23:28" x14ac:dyDescent="0.25">
      <c r="W122" s="33"/>
      <c r="X122" s="33"/>
      <c r="Z122" s="33"/>
      <c r="AB122" s="31"/>
    </row>
    <row r="123" spans="23:28" x14ac:dyDescent="0.25">
      <c r="W123" s="33"/>
      <c r="X123" s="33"/>
      <c r="Z123" s="33"/>
      <c r="AB123" s="31"/>
    </row>
    <row r="124" spans="23:28" x14ac:dyDescent="0.25">
      <c r="W124" s="33"/>
      <c r="X124" s="33"/>
      <c r="Z124" s="33"/>
      <c r="AB124" s="31"/>
    </row>
    <row r="125" spans="23:28" x14ac:dyDescent="0.25">
      <c r="W125" s="33"/>
      <c r="X125" s="33"/>
      <c r="Z125" s="33"/>
      <c r="AB125" s="31"/>
    </row>
    <row r="126" spans="23:28" x14ac:dyDescent="0.25">
      <c r="W126" s="33"/>
      <c r="X126" s="33"/>
      <c r="Z126" s="33"/>
      <c r="AB126" s="31"/>
    </row>
    <row r="127" spans="23:28" x14ac:dyDescent="0.25">
      <c r="W127" s="33"/>
      <c r="X127" s="33"/>
      <c r="Z127" s="33"/>
      <c r="AB127" s="31"/>
    </row>
    <row r="128" spans="23:28" x14ac:dyDescent="0.25">
      <c r="W128" s="33"/>
      <c r="X128" s="33"/>
      <c r="Z128" s="33"/>
      <c r="AB128" s="31"/>
    </row>
    <row r="129" spans="23:28" x14ac:dyDescent="0.25">
      <c r="W129" s="33"/>
      <c r="X129" s="33"/>
      <c r="Z129" s="33"/>
      <c r="AB129" s="31"/>
    </row>
    <row r="130" spans="23:28" x14ac:dyDescent="0.25">
      <c r="W130" s="33"/>
      <c r="X130" s="33"/>
      <c r="Z130" s="33"/>
      <c r="AB130" s="31"/>
    </row>
    <row r="131" spans="23:28" x14ac:dyDescent="0.25">
      <c r="W131" s="33"/>
      <c r="X131" s="33"/>
      <c r="Z131" s="33"/>
      <c r="AB131" s="31"/>
    </row>
    <row r="132" spans="23:28" x14ac:dyDescent="0.25">
      <c r="W132" s="33"/>
      <c r="X132" s="33"/>
      <c r="Z132" s="33"/>
      <c r="AB132" s="31"/>
    </row>
    <row r="133" spans="23:28" x14ac:dyDescent="0.25">
      <c r="W133" s="33"/>
      <c r="X133" s="33"/>
      <c r="Z133" s="33"/>
      <c r="AB133" s="31"/>
    </row>
    <row r="134" spans="23:28" x14ac:dyDescent="0.25">
      <c r="W134" s="33"/>
      <c r="X134" s="33"/>
      <c r="Z134" s="33"/>
      <c r="AB134" s="31"/>
    </row>
    <row r="135" spans="23:28" x14ac:dyDescent="0.25">
      <c r="W135" s="33"/>
      <c r="X135" s="33"/>
      <c r="Z135" s="33"/>
      <c r="AB135" s="31"/>
    </row>
    <row r="136" spans="23:28" x14ac:dyDescent="0.25">
      <c r="W136" s="33"/>
      <c r="X136" s="33"/>
      <c r="Z136" s="33"/>
      <c r="AB136" s="31"/>
    </row>
    <row r="137" spans="23:28" x14ac:dyDescent="0.25">
      <c r="W137" s="33"/>
      <c r="X137" s="33"/>
      <c r="Z137" s="33"/>
      <c r="AB137" s="31"/>
    </row>
    <row r="138" spans="23:28" x14ac:dyDescent="0.25">
      <c r="W138" s="33"/>
      <c r="X138" s="33"/>
      <c r="Z138" s="33"/>
      <c r="AB138" s="31"/>
    </row>
    <row r="139" spans="23:28" x14ac:dyDescent="0.25">
      <c r="W139" s="33"/>
      <c r="X139" s="33"/>
      <c r="Z139" s="33"/>
      <c r="AB139" s="31"/>
    </row>
    <row r="140" spans="23:28" x14ac:dyDescent="0.25">
      <c r="W140" s="33"/>
      <c r="X140" s="33"/>
      <c r="Z140" s="33"/>
      <c r="AB140" s="31"/>
    </row>
    <row r="141" spans="23:28" x14ac:dyDescent="0.25">
      <c r="W141" s="33"/>
      <c r="X141" s="33"/>
      <c r="Z141" s="33"/>
      <c r="AB141" s="31"/>
    </row>
    <row r="142" spans="23:28" x14ac:dyDescent="0.25">
      <c r="W142" s="33"/>
      <c r="X142" s="33"/>
      <c r="Z142" s="33"/>
      <c r="AB142" s="31"/>
    </row>
    <row r="143" spans="23:28" x14ac:dyDescent="0.25">
      <c r="W143" s="33"/>
      <c r="X143" s="33"/>
      <c r="Z143" s="33"/>
      <c r="AB143" s="31"/>
    </row>
    <row r="144" spans="23:28" x14ac:dyDescent="0.25">
      <c r="W144" s="33"/>
      <c r="X144" s="33"/>
      <c r="Z144" s="33"/>
      <c r="AB144" s="31"/>
    </row>
    <row r="145" spans="23:28" x14ac:dyDescent="0.25">
      <c r="W145" s="33"/>
      <c r="X145" s="33"/>
      <c r="Z145" s="33"/>
      <c r="AB145" s="31"/>
    </row>
    <row r="146" spans="23:28" x14ac:dyDescent="0.25">
      <c r="W146" s="33"/>
      <c r="X146" s="33"/>
      <c r="Z146" s="33"/>
      <c r="AB146" s="31"/>
    </row>
    <row r="147" spans="23:28" x14ac:dyDescent="0.25">
      <c r="W147" s="33"/>
      <c r="X147" s="33"/>
      <c r="Z147" s="33"/>
      <c r="AB147" s="31"/>
    </row>
    <row r="148" spans="23:28" x14ac:dyDescent="0.25">
      <c r="W148" s="33"/>
      <c r="X148" s="33"/>
      <c r="Z148" s="33"/>
      <c r="AB148" s="31"/>
    </row>
    <row r="149" spans="23:28" x14ac:dyDescent="0.25">
      <c r="W149" s="33"/>
      <c r="X149" s="33"/>
      <c r="Z149" s="33"/>
      <c r="AB149" s="31"/>
    </row>
    <row r="150" spans="23:28" x14ac:dyDescent="0.25">
      <c r="W150" s="33"/>
      <c r="X150" s="33"/>
      <c r="Z150" s="33"/>
      <c r="AB150" s="31"/>
    </row>
    <row r="151" spans="23:28" x14ac:dyDescent="0.25">
      <c r="W151" s="33"/>
      <c r="X151" s="33"/>
      <c r="Z151" s="33"/>
      <c r="AB151" s="31"/>
    </row>
    <row r="152" spans="23:28" x14ac:dyDescent="0.25">
      <c r="W152" s="33"/>
      <c r="X152" s="33"/>
      <c r="Z152" s="33"/>
      <c r="AB152" s="31"/>
    </row>
    <row r="153" spans="23:28" x14ac:dyDescent="0.25">
      <c r="W153" s="33"/>
      <c r="X153" s="33"/>
      <c r="Z153" s="33"/>
      <c r="AB153" s="31"/>
    </row>
    <row r="154" spans="23:28" x14ac:dyDescent="0.25">
      <c r="W154" s="33"/>
      <c r="X154" s="33"/>
      <c r="Z154" s="33"/>
      <c r="AB154" s="31"/>
    </row>
    <row r="155" spans="23:28" x14ac:dyDescent="0.25">
      <c r="W155" s="33"/>
      <c r="X155" s="33"/>
      <c r="Z155" s="33"/>
      <c r="AB155" s="31"/>
    </row>
    <row r="156" spans="23:28" x14ac:dyDescent="0.25">
      <c r="W156" s="33"/>
      <c r="X156" s="33"/>
      <c r="Z156" s="33"/>
      <c r="AB156" s="31"/>
    </row>
    <row r="157" spans="23:28" x14ac:dyDescent="0.25">
      <c r="W157" s="33"/>
      <c r="X157" s="33"/>
      <c r="Z157" s="33"/>
      <c r="AB157" s="31"/>
    </row>
    <row r="158" spans="23:28" x14ac:dyDescent="0.25">
      <c r="W158" s="33"/>
      <c r="X158" s="33"/>
      <c r="Z158" s="33"/>
      <c r="AB158" s="31"/>
    </row>
    <row r="159" spans="23:28" x14ac:dyDescent="0.25">
      <c r="W159" s="33"/>
      <c r="X159" s="33"/>
      <c r="Z159" s="33"/>
      <c r="AB159" s="31"/>
    </row>
    <row r="160" spans="23:28" x14ac:dyDescent="0.25">
      <c r="W160" s="33"/>
      <c r="X160" s="33"/>
      <c r="Z160" s="33"/>
      <c r="AB160" s="31"/>
    </row>
    <row r="161" spans="23:28" x14ac:dyDescent="0.25">
      <c r="W161" s="33"/>
      <c r="X161" s="33"/>
      <c r="Z161" s="33"/>
      <c r="AB161" s="31"/>
    </row>
    <row r="162" spans="23:28" x14ac:dyDescent="0.25">
      <c r="W162" s="33"/>
      <c r="X162" s="33"/>
      <c r="Z162" s="33"/>
      <c r="AB162" s="31"/>
    </row>
    <row r="163" spans="23:28" x14ac:dyDescent="0.25">
      <c r="W163" s="33"/>
      <c r="X163" s="33"/>
      <c r="Z163" s="33"/>
      <c r="AB163" s="31"/>
    </row>
    <row r="164" spans="23:28" x14ac:dyDescent="0.25">
      <c r="W164" s="33"/>
      <c r="X164" s="33"/>
      <c r="Z164" s="33"/>
      <c r="AB164" s="31"/>
    </row>
    <row r="165" spans="23:28" x14ac:dyDescent="0.25">
      <c r="W165" s="33"/>
      <c r="X165" s="33"/>
      <c r="Z165" s="33"/>
      <c r="AB165" s="31"/>
    </row>
    <row r="166" spans="23:28" x14ac:dyDescent="0.25">
      <c r="W166" s="33"/>
      <c r="X166" s="33"/>
      <c r="Z166" s="33"/>
      <c r="AB166" s="31"/>
    </row>
    <row r="167" spans="23:28" x14ac:dyDescent="0.25">
      <c r="W167" s="33"/>
      <c r="X167" s="33"/>
      <c r="Z167" s="33"/>
      <c r="AB167" s="31"/>
    </row>
    <row r="168" spans="23:28" x14ac:dyDescent="0.25">
      <c r="W168" s="33"/>
      <c r="X168" s="33"/>
      <c r="Z168" s="33"/>
      <c r="AB168" s="31"/>
    </row>
    <row r="169" spans="23:28" x14ac:dyDescent="0.25">
      <c r="W169" s="33"/>
      <c r="X169" s="33"/>
      <c r="Z169" s="33"/>
      <c r="AB169" s="31"/>
    </row>
    <row r="170" spans="23:28" x14ac:dyDescent="0.25">
      <c r="W170" s="33"/>
      <c r="X170" s="33"/>
      <c r="Z170" s="33"/>
      <c r="AB170" s="31"/>
    </row>
    <row r="171" spans="23:28" x14ac:dyDescent="0.25">
      <c r="W171" s="33"/>
      <c r="X171" s="33"/>
      <c r="Z171" s="33"/>
      <c r="AB171" s="31"/>
    </row>
    <row r="172" spans="23:28" x14ac:dyDescent="0.25">
      <c r="W172" s="33"/>
      <c r="X172" s="33"/>
      <c r="Z172" s="33"/>
      <c r="AB172" s="31"/>
    </row>
    <row r="173" spans="23:28" x14ac:dyDescent="0.25">
      <c r="W173" s="33"/>
      <c r="X173" s="33"/>
      <c r="Z173" s="33"/>
      <c r="AB173" s="31"/>
    </row>
    <row r="174" spans="23:28" x14ac:dyDescent="0.25">
      <c r="W174" s="33"/>
      <c r="X174" s="33"/>
      <c r="Z174" s="33"/>
      <c r="AB174" s="31"/>
    </row>
    <row r="175" spans="23:28" x14ac:dyDescent="0.25">
      <c r="W175" s="33"/>
      <c r="X175" s="33"/>
      <c r="Z175" s="33"/>
      <c r="AB175" s="31"/>
    </row>
    <row r="176" spans="23:28" x14ac:dyDescent="0.25">
      <c r="W176" s="33"/>
      <c r="X176" s="33"/>
      <c r="Z176" s="33"/>
      <c r="AB176" s="31"/>
    </row>
    <row r="177" spans="23:28" x14ac:dyDescent="0.25">
      <c r="W177" s="33"/>
      <c r="X177" s="33"/>
      <c r="Z177" s="33"/>
      <c r="AB177" s="31"/>
    </row>
    <row r="178" spans="23:28" x14ac:dyDescent="0.25">
      <c r="W178" s="33"/>
      <c r="X178" s="33"/>
      <c r="Z178" s="33"/>
      <c r="AB178" s="31"/>
    </row>
    <row r="179" spans="23:28" x14ac:dyDescent="0.25">
      <c r="W179" s="33"/>
      <c r="X179" s="33"/>
      <c r="Z179" s="33"/>
      <c r="AB179" s="31"/>
    </row>
    <row r="180" spans="23:28" x14ac:dyDescent="0.25">
      <c r="W180" s="33"/>
      <c r="X180" s="33"/>
      <c r="Z180" s="33"/>
      <c r="AB180" s="31"/>
    </row>
    <row r="181" spans="23:28" x14ac:dyDescent="0.25">
      <c r="W181" s="33"/>
      <c r="X181" s="33"/>
      <c r="Z181" s="33"/>
      <c r="AB181" s="31"/>
    </row>
    <row r="182" spans="23:28" x14ac:dyDescent="0.25">
      <c r="W182" s="33"/>
      <c r="X182" s="33"/>
      <c r="Z182" s="33"/>
      <c r="AB182" s="31"/>
    </row>
    <row r="183" spans="23:28" x14ac:dyDescent="0.25">
      <c r="W183" s="33"/>
      <c r="X183" s="33"/>
      <c r="Z183" s="33"/>
      <c r="AB183" s="31"/>
    </row>
    <row r="184" spans="23:28" x14ac:dyDescent="0.25">
      <c r="W184" s="33"/>
      <c r="X184" s="33"/>
      <c r="Z184" s="33"/>
      <c r="AB184" s="31"/>
    </row>
    <row r="185" spans="23:28" x14ac:dyDescent="0.25">
      <c r="W185" s="33"/>
      <c r="X185" s="33"/>
      <c r="Z185" s="33"/>
      <c r="AB185" s="31"/>
    </row>
    <row r="186" spans="23:28" x14ac:dyDescent="0.25">
      <c r="W186" s="33"/>
      <c r="X186" s="33"/>
      <c r="Z186" s="33"/>
      <c r="AB186" s="31"/>
    </row>
    <row r="187" spans="23:28" x14ac:dyDescent="0.25">
      <c r="W187" s="33"/>
      <c r="X187" s="33"/>
      <c r="Z187" s="33"/>
      <c r="AB187" s="31"/>
    </row>
    <row r="188" spans="23:28" x14ac:dyDescent="0.25">
      <c r="W188" s="33"/>
      <c r="X188" s="33"/>
      <c r="Z188" s="33"/>
      <c r="AB188" s="31"/>
    </row>
    <row r="189" spans="23:28" x14ac:dyDescent="0.25">
      <c r="W189" s="33"/>
      <c r="X189" s="33"/>
      <c r="Z189" s="33"/>
      <c r="AB189" s="31"/>
    </row>
    <row r="190" spans="23:28" x14ac:dyDescent="0.25">
      <c r="W190" s="33"/>
      <c r="X190" s="33"/>
      <c r="Z190" s="33"/>
      <c r="AB190" s="31"/>
    </row>
    <row r="191" spans="23:28" x14ac:dyDescent="0.25">
      <c r="W191" s="33"/>
      <c r="X191" s="33"/>
      <c r="Z191" s="33"/>
      <c r="AB191" s="31"/>
    </row>
    <row r="192" spans="23:28" x14ac:dyDescent="0.25">
      <c r="W192" s="33"/>
      <c r="X192" s="33"/>
      <c r="Z192" s="33"/>
      <c r="AB192" s="31"/>
    </row>
    <row r="193" spans="23:28" x14ac:dyDescent="0.25">
      <c r="W193" s="33"/>
      <c r="X193" s="33"/>
      <c r="Z193" s="33"/>
      <c r="AB193" s="31"/>
    </row>
    <row r="194" spans="23:28" x14ac:dyDescent="0.25">
      <c r="W194" s="33"/>
      <c r="X194" s="33"/>
      <c r="Z194" s="33"/>
      <c r="AB194" s="31"/>
    </row>
    <row r="195" spans="23:28" x14ac:dyDescent="0.25">
      <c r="W195" s="33"/>
      <c r="X195" s="33"/>
      <c r="Z195" s="33"/>
      <c r="AB195" s="31"/>
    </row>
    <row r="196" spans="23:28" x14ac:dyDescent="0.25">
      <c r="W196" s="33"/>
      <c r="X196" s="33"/>
      <c r="Z196" s="33"/>
      <c r="AB196" s="31"/>
    </row>
    <row r="197" spans="23:28" x14ac:dyDescent="0.25">
      <c r="W197" s="33"/>
      <c r="X197" s="33"/>
      <c r="Z197" s="33"/>
      <c r="AB197" s="31"/>
    </row>
    <row r="198" spans="23:28" x14ac:dyDescent="0.25">
      <c r="W198" s="33"/>
      <c r="X198" s="33"/>
      <c r="Z198" s="33"/>
      <c r="AB198" s="31"/>
    </row>
    <row r="199" spans="23:28" x14ac:dyDescent="0.25">
      <c r="W199" s="33"/>
      <c r="X199" s="33"/>
      <c r="Z199" s="33"/>
      <c r="AB199" s="31"/>
    </row>
    <row r="200" spans="23:28" x14ac:dyDescent="0.25">
      <c r="W200" s="33"/>
      <c r="X200" s="33"/>
      <c r="Z200" s="33"/>
      <c r="AB200" s="31"/>
    </row>
    <row r="201" spans="23:28" x14ac:dyDescent="0.25">
      <c r="W201" s="33"/>
      <c r="X201" s="33"/>
      <c r="Z201" s="33"/>
      <c r="AB201" s="31"/>
    </row>
    <row r="202" spans="23:28" x14ac:dyDescent="0.25">
      <c r="W202" s="33"/>
      <c r="X202" s="33"/>
      <c r="Z202" s="33"/>
      <c r="AB202" s="31"/>
    </row>
    <row r="203" spans="23:28" x14ac:dyDescent="0.25">
      <c r="W203" s="33"/>
      <c r="X203" s="33"/>
      <c r="Z203" s="33"/>
      <c r="AB203" s="31"/>
    </row>
    <row r="204" spans="23:28" x14ac:dyDescent="0.25">
      <c r="W204" s="33"/>
      <c r="X204" s="33"/>
      <c r="Z204" s="33"/>
      <c r="AB204" s="31"/>
    </row>
    <row r="205" spans="23:28" x14ac:dyDescent="0.25">
      <c r="W205" s="33"/>
      <c r="X205" s="33"/>
      <c r="Z205" s="33"/>
      <c r="AB205" s="31"/>
    </row>
    <row r="206" spans="23:28" x14ac:dyDescent="0.25">
      <c r="W206" s="33"/>
      <c r="X206" s="33"/>
      <c r="Z206" s="33"/>
      <c r="AB206" s="31"/>
    </row>
    <row r="207" spans="23:28" x14ac:dyDescent="0.25">
      <c r="W207" s="33"/>
      <c r="X207" s="33"/>
      <c r="Z207" s="33"/>
      <c r="AB207" s="31"/>
    </row>
    <row r="208" spans="23:28" x14ac:dyDescent="0.25">
      <c r="W208" s="33"/>
      <c r="X208" s="33"/>
      <c r="Z208" s="33"/>
      <c r="AB208" s="31"/>
    </row>
    <row r="209" spans="23:28" x14ac:dyDescent="0.25">
      <c r="W209" s="33"/>
      <c r="X209" s="33"/>
      <c r="Z209" s="33"/>
      <c r="AB209" s="31"/>
    </row>
    <row r="210" spans="23:28" x14ac:dyDescent="0.25">
      <c r="W210" s="33"/>
      <c r="X210" s="33"/>
      <c r="Z210" s="33"/>
      <c r="AB210" s="31"/>
    </row>
    <row r="211" spans="23:28" x14ac:dyDescent="0.25">
      <c r="W211" s="33"/>
      <c r="X211" s="33"/>
      <c r="Z211" s="33"/>
      <c r="AB211" s="31"/>
    </row>
    <row r="212" spans="23:28" x14ac:dyDescent="0.25">
      <c r="W212" s="33"/>
      <c r="X212" s="33"/>
      <c r="Z212" s="33"/>
      <c r="AB212" s="31"/>
    </row>
    <row r="213" spans="23:28" x14ac:dyDescent="0.25">
      <c r="W213" s="33"/>
      <c r="X213" s="33"/>
      <c r="Z213" s="33"/>
      <c r="AB213" s="31"/>
    </row>
  </sheetData>
  <mergeCells count="49">
    <mergeCell ref="AC8:BS8"/>
    <mergeCell ref="Y9:Y10"/>
    <mergeCell ref="Z9:Z10"/>
    <mergeCell ref="AA9:AA10"/>
    <mergeCell ref="W9:W10"/>
    <mergeCell ref="W8:AB8"/>
    <mergeCell ref="X9:X10"/>
    <mergeCell ref="AB9:AB10"/>
    <mergeCell ref="BS9:BS10"/>
    <mergeCell ref="AW9:AX9"/>
    <mergeCell ref="AY9:AZ9"/>
    <mergeCell ref="BA9:BB9"/>
    <mergeCell ref="BC9:BF9"/>
    <mergeCell ref="BG9:BH9"/>
    <mergeCell ref="BO9:BR9"/>
    <mergeCell ref="BI9:BJ9"/>
    <mergeCell ref="H8:V8"/>
    <mergeCell ref="A8:B8"/>
    <mergeCell ref="C8:G8"/>
    <mergeCell ref="E9:E10"/>
    <mergeCell ref="T9:T10"/>
    <mergeCell ref="M9:M10"/>
    <mergeCell ref="L9:L10"/>
    <mergeCell ref="H9:H10"/>
    <mergeCell ref="P9:P10"/>
    <mergeCell ref="D9:D10"/>
    <mergeCell ref="B9:B10"/>
    <mergeCell ref="A2:G7"/>
    <mergeCell ref="U9:U10"/>
    <mergeCell ref="O9:O10"/>
    <mergeCell ref="S9:S10"/>
    <mergeCell ref="AU9:AV9"/>
    <mergeCell ref="A9:A10"/>
    <mergeCell ref="K9:K10"/>
    <mergeCell ref="N9:N10"/>
    <mergeCell ref="Q9:Q10"/>
    <mergeCell ref="I9:I10"/>
    <mergeCell ref="J9:J10"/>
    <mergeCell ref="F9:F10"/>
    <mergeCell ref="V9:V10"/>
    <mergeCell ref="R9:R10"/>
    <mergeCell ref="G9:G10"/>
    <mergeCell ref="C9:C10"/>
    <mergeCell ref="BK9:BL9"/>
    <mergeCell ref="BM9:BN9"/>
    <mergeCell ref="AC9:AG9"/>
    <mergeCell ref="AH9:AL9"/>
    <mergeCell ref="AM9:AP9"/>
    <mergeCell ref="AQ9:AT9"/>
  </mergeCells>
  <pageMargins left="0.7" right="0.7" top="0.75" bottom="0.75" header="0.3" footer="0.3"/>
  <pageSetup paperSize="17" scale="40" fitToWidth="2"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39997558519241921"/>
    <pageSetUpPr fitToPage="1"/>
  </sheetPr>
  <dimension ref="A1:C172"/>
  <sheetViews>
    <sheetView topLeftCell="A112" zoomScale="70" zoomScaleNormal="70" zoomScalePageLayoutView="70" workbookViewId="0">
      <selection activeCell="B146" sqref="B146"/>
    </sheetView>
  </sheetViews>
  <sheetFormatPr defaultColWidth="8.7109375" defaultRowHeight="15" x14ac:dyDescent="0.25"/>
  <cols>
    <col min="1" max="1" width="5.28515625" customWidth="1"/>
    <col min="2" max="2" width="42.140625" customWidth="1"/>
    <col min="3" max="3" width="119.7109375" customWidth="1"/>
  </cols>
  <sheetData>
    <row r="1" spans="1:3" x14ac:dyDescent="0.25">
      <c r="A1" s="143" t="s">
        <v>49</v>
      </c>
      <c r="B1" s="143"/>
      <c r="C1" s="143"/>
    </row>
    <row r="2" spans="1:3" x14ac:dyDescent="0.25">
      <c r="A2" s="143"/>
      <c r="B2" s="143"/>
      <c r="C2" s="143"/>
    </row>
    <row r="3" spans="1:3" ht="51" customHeight="1" x14ac:dyDescent="0.3">
      <c r="A3" s="142" t="s">
        <v>429</v>
      </c>
      <c r="B3" s="142"/>
      <c r="C3" s="142"/>
    </row>
    <row r="4" spans="1:3" ht="45" x14ac:dyDescent="0.25">
      <c r="B4" s="7" t="s">
        <v>22</v>
      </c>
      <c r="C4" s="10" t="s">
        <v>430</v>
      </c>
    </row>
    <row r="5" spans="1:3" ht="45" x14ac:dyDescent="0.25">
      <c r="B5" s="7" t="s">
        <v>11</v>
      </c>
      <c r="C5" s="10" t="s">
        <v>23</v>
      </c>
    </row>
    <row r="6" spans="1:3" ht="30" x14ac:dyDescent="0.25">
      <c r="B6" s="7" t="s">
        <v>312</v>
      </c>
      <c r="C6" s="10" t="s">
        <v>24</v>
      </c>
    </row>
    <row r="7" spans="1:3" ht="60" x14ac:dyDescent="0.25">
      <c r="B7" s="7" t="s">
        <v>25</v>
      </c>
      <c r="C7" s="10" t="s">
        <v>26</v>
      </c>
    </row>
    <row r="8" spans="1:3" ht="45" x14ac:dyDescent="0.25">
      <c r="B8" s="7" t="s">
        <v>27</v>
      </c>
      <c r="C8" s="10" t="s">
        <v>28</v>
      </c>
    </row>
    <row r="9" spans="1:3" ht="45" x14ac:dyDescent="0.25">
      <c r="B9" s="7" t="s">
        <v>59</v>
      </c>
      <c r="C9" s="10" t="s">
        <v>31</v>
      </c>
    </row>
    <row r="10" spans="1:3" ht="60" x14ac:dyDescent="0.25">
      <c r="B10" s="7" t="s">
        <v>29</v>
      </c>
      <c r="C10" s="10" t="s">
        <v>32</v>
      </c>
    </row>
    <row r="11" spans="1:3" ht="45" x14ac:dyDescent="0.25">
      <c r="B11" s="7" t="s">
        <v>30</v>
      </c>
      <c r="C11" s="10" t="s">
        <v>33</v>
      </c>
    </row>
    <row r="12" spans="1:3" x14ac:dyDescent="0.25">
      <c r="B12" s="7" t="s">
        <v>34</v>
      </c>
      <c r="C12" s="10"/>
    </row>
    <row r="13" spans="1:3" s="9" customFormat="1" x14ac:dyDescent="0.25">
      <c r="B13" s="31"/>
      <c r="C13" s="32"/>
    </row>
    <row r="14" spans="1:3" s="59" customFormat="1" ht="18.75" x14ac:dyDescent="0.3">
      <c r="A14" s="67" t="s">
        <v>214</v>
      </c>
      <c r="B14" s="67"/>
      <c r="C14" s="67"/>
    </row>
    <row r="15" spans="1:3" s="59" customFormat="1" x14ac:dyDescent="0.25">
      <c r="A15" s="62"/>
      <c r="B15" s="65" t="s">
        <v>215</v>
      </c>
      <c r="C15" s="64" t="s">
        <v>216</v>
      </c>
    </row>
    <row r="16" spans="1:3" s="59" customFormat="1" x14ac:dyDescent="0.25">
      <c r="A16" s="62"/>
      <c r="B16" s="65">
        <v>1</v>
      </c>
      <c r="C16" s="66" t="s">
        <v>217</v>
      </c>
    </row>
    <row r="17" spans="1:3" s="59" customFormat="1" ht="45" x14ac:dyDescent="0.25">
      <c r="A17" s="62"/>
      <c r="B17" s="65">
        <v>2</v>
      </c>
      <c r="C17" s="63" t="s">
        <v>218</v>
      </c>
    </row>
    <row r="18" spans="1:3" s="59" customFormat="1" ht="30" x14ac:dyDescent="0.25">
      <c r="A18" s="62"/>
      <c r="B18" s="65">
        <v>3</v>
      </c>
      <c r="C18" s="63" t="s">
        <v>219</v>
      </c>
    </row>
    <row r="19" spans="1:3" s="59" customFormat="1" ht="45" x14ac:dyDescent="0.25">
      <c r="A19" s="62"/>
      <c r="B19" s="65">
        <v>4</v>
      </c>
      <c r="C19" s="63" t="s">
        <v>220</v>
      </c>
    </row>
    <row r="20" spans="1:3" s="59" customFormat="1" ht="45" x14ac:dyDescent="0.25">
      <c r="A20" s="62"/>
      <c r="B20" s="65">
        <v>5</v>
      </c>
      <c r="C20" s="63" t="s">
        <v>221</v>
      </c>
    </row>
    <row r="21" spans="1:3" s="59" customFormat="1" ht="45" x14ac:dyDescent="0.25">
      <c r="A21" s="62"/>
      <c r="B21" s="65">
        <v>6</v>
      </c>
      <c r="C21" s="63" t="s">
        <v>222</v>
      </c>
    </row>
    <row r="22" spans="1:3" s="59" customFormat="1" ht="60" x14ac:dyDescent="0.25">
      <c r="A22" s="62"/>
      <c r="B22" s="65">
        <v>7</v>
      </c>
      <c r="C22" s="63" t="s">
        <v>223</v>
      </c>
    </row>
    <row r="23" spans="1:3" s="59" customFormat="1" ht="45" x14ac:dyDescent="0.25">
      <c r="A23" s="62"/>
      <c r="B23" s="65">
        <v>8</v>
      </c>
      <c r="C23" s="63" t="s">
        <v>224</v>
      </c>
    </row>
    <row r="24" spans="1:3" s="59" customFormat="1" ht="30" x14ac:dyDescent="0.25">
      <c r="A24" s="62"/>
      <c r="B24" s="65">
        <v>9</v>
      </c>
      <c r="C24" s="63" t="s">
        <v>225</v>
      </c>
    </row>
    <row r="25" spans="1:3" s="59" customFormat="1" x14ac:dyDescent="0.25">
      <c r="B25" s="31"/>
      <c r="C25" s="32"/>
    </row>
    <row r="26" spans="1:3" s="50" customFormat="1" ht="18.75" x14ac:dyDescent="0.3">
      <c r="A26" s="141" t="s">
        <v>163</v>
      </c>
      <c r="B26" s="141"/>
      <c r="C26" s="141"/>
    </row>
    <row r="27" spans="1:3" s="50" customFormat="1" x14ac:dyDescent="0.25">
      <c r="A27" s="53"/>
      <c r="B27" s="54" t="s">
        <v>164</v>
      </c>
      <c r="C27" s="55" t="s">
        <v>165</v>
      </c>
    </row>
    <row r="28" spans="1:3" s="50" customFormat="1" x14ac:dyDescent="0.25">
      <c r="A28" s="53"/>
      <c r="B28" s="54" t="s">
        <v>166</v>
      </c>
      <c r="C28" s="55" t="s">
        <v>167</v>
      </c>
    </row>
    <row r="29" spans="1:3" s="50" customFormat="1" x14ac:dyDescent="0.25">
      <c r="A29" s="53"/>
      <c r="B29" s="54" t="s">
        <v>168</v>
      </c>
      <c r="C29" s="55" t="s">
        <v>169</v>
      </c>
    </row>
    <row r="30" spans="1:3" s="50" customFormat="1" x14ac:dyDescent="0.25">
      <c r="A30" s="53"/>
      <c r="B30" s="54" t="s">
        <v>170</v>
      </c>
      <c r="C30" s="55" t="s">
        <v>171</v>
      </c>
    </row>
    <row r="31" spans="1:3" s="50" customFormat="1" x14ac:dyDescent="0.25">
      <c r="A31" s="53"/>
      <c r="B31" s="54" t="s">
        <v>172</v>
      </c>
      <c r="C31" s="55" t="s">
        <v>173</v>
      </c>
    </row>
    <row r="32" spans="1:3" s="50" customFormat="1" x14ac:dyDescent="0.25">
      <c r="A32" s="53"/>
      <c r="B32" s="54" t="s">
        <v>174</v>
      </c>
      <c r="C32" s="55" t="s">
        <v>175</v>
      </c>
    </row>
    <row r="33" spans="1:3" s="50" customFormat="1" x14ac:dyDescent="0.25">
      <c r="A33" s="53"/>
      <c r="B33" s="54" t="s">
        <v>34</v>
      </c>
      <c r="C33" s="55"/>
    </row>
    <row r="34" spans="1:3" s="50" customFormat="1" x14ac:dyDescent="0.25"/>
    <row r="35" spans="1:3" s="9" customFormat="1" ht="18.75" x14ac:dyDescent="0.3">
      <c r="A35" s="141" t="s">
        <v>118</v>
      </c>
      <c r="B35" s="141"/>
      <c r="C35" s="141"/>
    </row>
    <row r="36" spans="1:3" s="9" customFormat="1" x14ac:dyDescent="0.25">
      <c r="B36" s="7" t="s">
        <v>119</v>
      </c>
      <c r="C36" s="10" t="s">
        <v>119</v>
      </c>
    </row>
    <row r="37" spans="1:3" s="9" customFormat="1" x14ac:dyDescent="0.25">
      <c r="B37" s="7" t="s">
        <v>124</v>
      </c>
      <c r="C37" s="10" t="s">
        <v>126</v>
      </c>
    </row>
    <row r="38" spans="1:3" s="9" customFormat="1" x14ac:dyDescent="0.25">
      <c r="B38" s="7" t="s">
        <v>125</v>
      </c>
      <c r="C38" s="10" t="s">
        <v>129</v>
      </c>
    </row>
    <row r="39" spans="1:3" s="9" customFormat="1" x14ac:dyDescent="0.25">
      <c r="B39" s="7" t="s">
        <v>122</v>
      </c>
      <c r="C39" s="10" t="s">
        <v>123</v>
      </c>
    </row>
    <row r="40" spans="1:3" s="9" customFormat="1" x14ac:dyDescent="0.25">
      <c r="B40" s="7" t="s">
        <v>120</v>
      </c>
      <c r="C40" s="10" t="s">
        <v>127</v>
      </c>
    </row>
    <row r="41" spans="1:3" s="9" customFormat="1" ht="15.75" customHeight="1" x14ac:dyDescent="0.25">
      <c r="B41" s="7" t="s">
        <v>121</v>
      </c>
      <c r="C41" s="10" t="s">
        <v>128</v>
      </c>
    </row>
    <row r="42" spans="1:3" s="9" customFormat="1" x14ac:dyDescent="0.25">
      <c r="B42" s="7" t="s">
        <v>34</v>
      </c>
      <c r="C42" s="10"/>
    </row>
    <row r="43" spans="1:3" s="62" customFormat="1" x14ac:dyDescent="0.25">
      <c r="B43" s="31"/>
      <c r="C43" s="32"/>
    </row>
    <row r="44" spans="1:3" s="62" customFormat="1" ht="18.75" x14ac:dyDescent="0.3">
      <c r="A44" s="141" t="s">
        <v>377</v>
      </c>
      <c r="B44" s="141"/>
      <c r="C44" s="141"/>
    </row>
    <row r="45" spans="1:3" s="62" customFormat="1" x14ac:dyDescent="0.25">
      <c r="B45" s="60" t="s">
        <v>386</v>
      </c>
      <c r="C45" s="63" t="s">
        <v>382</v>
      </c>
    </row>
    <row r="46" spans="1:3" s="62" customFormat="1" x14ac:dyDescent="0.25">
      <c r="B46" s="60" t="s">
        <v>387</v>
      </c>
      <c r="C46" s="63" t="s">
        <v>382</v>
      </c>
    </row>
    <row r="47" spans="1:3" s="62" customFormat="1" x14ac:dyDescent="0.25">
      <c r="B47" s="60" t="s">
        <v>378</v>
      </c>
      <c r="C47" s="63" t="s">
        <v>388</v>
      </c>
    </row>
    <row r="48" spans="1:3" s="62" customFormat="1" x14ac:dyDescent="0.25">
      <c r="B48" s="60" t="s">
        <v>379</v>
      </c>
      <c r="C48" s="63" t="s">
        <v>388</v>
      </c>
    </row>
    <row r="49" spans="1:3" s="62" customFormat="1" x14ac:dyDescent="0.25">
      <c r="B49" s="60" t="s">
        <v>380</v>
      </c>
      <c r="C49" s="63" t="s">
        <v>383</v>
      </c>
    </row>
    <row r="50" spans="1:3" s="62" customFormat="1" x14ac:dyDescent="0.25">
      <c r="B50" s="60" t="s">
        <v>381</v>
      </c>
      <c r="C50" s="63" t="s">
        <v>383</v>
      </c>
    </row>
    <row r="51" spans="1:3" s="62" customFormat="1" x14ac:dyDescent="0.25">
      <c r="B51" s="60" t="s">
        <v>384</v>
      </c>
      <c r="C51" s="63"/>
    </row>
    <row r="52" spans="1:3" s="62" customFormat="1" x14ac:dyDescent="0.25">
      <c r="B52" s="60" t="s">
        <v>385</v>
      </c>
      <c r="C52" s="63"/>
    </row>
    <row r="53" spans="1:3" s="62" customFormat="1" x14ac:dyDescent="0.25">
      <c r="B53" s="60" t="s">
        <v>34</v>
      </c>
      <c r="C53" s="63"/>
    </row>
    <row r="54" spans="1:3" s="62" customFormat="1" x14ac:dyDescent="0.25">
      <c r="B54" s="31"/>
      <c r="C54" s="32"/>
    </row>
    <row r="55" spans="1:3" s="62" customFormat="1" x14ac:dyDescent="0.25">
      <c r="A55" s="85" t="s">
        <v>416</v>
      </c>
      <c r="B55" s="31"/>
      <c r="C55" s="32"/>
    </row>
    <row r="56" spans="1:3" s="62" customFormat="1" x14ac:dyDescent="0.25">
      <c r="B56" s="60" t="s">
        <v>395</v>
      </c>
      <c r="C56" s="63"/>
    </row>
    <row r="57" spans="1:3" s="62" customFormat="1" x14ac:dyDescent="0.25">
      <c r="B57" s="60" t="s">
        <v>396</v>
      </c>
      <c r="C57" s="63"/>
    </row>
    <row r="58" spans="1:3" s="62" customFormat="1" x14ac:dyDescent="0.25">
      <c r="B58" s="60" t="s">
        <v>397</v>
      </c>
      <c r="C58" s="63"/>
    </row>
    <row r="59" spans="1:3" s="62" customFormat="1" x14ac:dyDescent="0.25">
      <c r="B59" s="60"/>
      <c r="C59" s="63"/>
    </row>
    <row r="60" spans="1:3" s="62" customFormat="1" x14ac:dyDescent="0.25">
      <c r="B60" s="60"/>
      <c r="C60" s="63"/>
    </row>
    <row r="61" spans="1:3" s="62" customFormat="1" x14ac:dyDescent="0.25">
      <c r="B61" s="60"/>
      <c r="C61" s="63"/>
    </row>
    <row r="62" spans="1:3" s="62" customFormat="1" x14ac:dyDescent="0.25">
      <c r="B62" s="60"/>
      <c r="C62" s="63"/>
    </row>
    <row r="63" spans="1:3" s="62" customFormat="1" x14ac:dyDescent="0.25">
      <c r="B63" s="31"/>
      <c r="C63" s="32"/>
    </row>
    <row r="64" spans="1:3" s="9" customFormat="1" ht="18.75" x14ac:dyDescent="0.3">
      <c r="A64" s="141" t="s">
        <v>105</v>
      </c>
      <c r="B64" s="141"/>
      <c r="C64" s="141"/>
    </row>
    <row r="65" spans="1:3" s="9" customFormat="1" x14ac:dyDescent="0.25">
      <c r="B65" s="7" t="s">
        <v>108</v>
      </c>
      <c r="C65" s="10"/>
    </row>
    <row r="66" spans="1:3" s="9" customFormat="1" x14ac:dyDescent="0.25">
      <c r="B66" s="7" t="s">
        <v>109</v>
      </c>
      <c r="C66" s="10"/>
    </row>
    <row r="67" spans="1:3" s="9" customFormat="1" x14ac:dyDescent="0.25">
      <c r="B67" s="7" t="s">
        <v>106</v>
      </c>
      <c r="C67" s="10" t="s">
        <v>433</v>
      </c>
    </row>
    <row r="68" spans="1:3" s="9" customFormat="1" x14ac:dyDescent="0.25">
      <c r="B68" s="7" t="s">
        <v>107</v>
      </c>
      <c r="C68" s="63" t="s">
        <v>433</v>
      </c>
    </row>
    <row r="69" spans="1:3" s="62" customFormat="1" x14ac:dyDescent="0.25">
      <c r="B69" s="60" t="s">
        <v>431</v>
      </c>
      <c r="C69" s="63"/>
    </row>
    <row r="70" spans="1:3" s="9" customFormat="1" x14ac:dyDescent="0.25">
      <c r="B70" s="7" t="s">
        <v>432</v>
      </c>
      <c r="C70" s="10"/>
    </row>
    <row r="71" spans="1:3" s="9" customFormat="1" x14ac:dyDescent="0.25">
      <c r="B71" s="7" t="s">
        <v>144</v>
      </c>
      <c r="C71" s="10"/>
    </row>
    <row r="72" spans="1:3" s="9" customFormat="1" x14ac:dyDescent="0.25">
      <c r="B72" s="7" t="s">
        <v>111</v>
      </c>
      <c r="C72" s="10"/>
    </row>
    <row r="73" spans="1:3" s="9" customFormat="1" x14ac:dyDescent="0.25">
      <c r="B73" s="7" t="s">
        <v>137</v>
      </c>
      <c r="C73" s="10"/>
    </row>
    <row r="74" spans="1:3" s="9" customFormat="1" x14ac:dyDescent="0.25">
      <c r="B74" s="7" t="s">
        <v>138</v>
      </c>
      <c r="C74" s="10"/>
    </row>
    <row r="75" spans="1:3" s="9" customFormat="1" x14ac:dyDescent="0.25">
      <c r="B75" s="7" t="s">
        <v>112</v>
      </c>
      <c r="C75" s="10"/>
    </row>
    <row r="76" spans="1:3" s="9" customFormat="1" x14ac:dyDescent="0.25">
      <c r="B76" s="7" t="s">
        <v>34</v>
      </c>
      <c r="C76" s="10"/>
    </row>
    <row r="77" spans="1:3" s="9" customFormat="1" x14ac:dyDescent="0.25">
      <c r="B77" s="31"/>
      <c r="C77" s="32"/>
    </row>
    <row r="78" spans="1:3" s="9" customFormat="1" ht="18.75" x14ac:dyDescent="0.3">
      <c r="A78" s="141" t="s">
        <v>99</v>
      </c>
      <c r="B78" s="141"/>
      <c r="C78" s="141"/>
    </row>
    <row r="79" spans="1:3" s="9" customFormat="1" x14ac:dyDescent="0.25">
      <c r="B79" s="7" t="s">
        <v>108</v>
      </c>
      <c r="C79" s="10"/>
    </row>
    <row r="80" spans="1:3" s="9" customFormat="1" x14ac:dyDescent="0.25">
      <c r="B80" s="7" t="s">
        <v>109</v>
      </c>
      <c r="C80" s="10"/>
    </row>
    <row r="81" spans="1:3" s="9" customFormat="1" x14ac:dyDescent="0.25">
      <c r="B81" s="7" t="s">
        <v>106</v>
      </c>
      <c r="C81" s="10"/>
    </row>
    <row r="82" spans="1:3" s="9" customFormat="1" x14ac:dyDescent="0.25">
      <c r="B82" s="7" t="s">
        <v>107</v>
      </c>
      <c r="C82" s="10"/>
    </row>
    <row r="83" spans="1:3" s="9" customFormat="1" x14ac:dyDescent="0.25">
      <c r="B83" s="7" t="s">
        <v>110</v>
      </c>
      <c r="C83" s="10"/>
    </row>
    <row r="84" spans="1:3" s="9" customFormat="1" x14ac:dyDescent="0.25">
      <c r="B84" s="7" t="s">
        <v>144</v>
      </c>
      <c r="C84" s="10"/>
    </row>
    <row r="85" spans="1:3" s="9" customFormat="1" x14ac:dyDescent="0.25">
      <c r="B85" s="7" t="s">
        <v>111</v>
      </c>
      <c r="C85" s="10"/>
    </row>
    <row r="86" spans="1:3" s="9" customFormat="1" x14ac:dyDescent="0.25">
      <c r="B86" s="7" t="s">
        <v>112</v>
      </c>
      <c r="C86" s="10"/>
    </row>
    <row r="87" spans="1:3" s="9" customFormat="1" x14ac:dyDescent="0.25">
      <c r="B87" s="7" t="s">
        <v>113</v>
      </c>
      <c r="C87" s="10"/>
    </row>
    <row r="88" spans="1:3" s="9" customFormat="1" x14ac:dyDescent="0.25">
      <c r="B88" s="7" t="s">
        <v>116</v>
      </c>
      <c r="C88" s="10"/>
    </row>
    <row r="89" spans="1:3" s="9" customFormat="1" x14ac:dyDescent="0.25">
      <c r="B89" s="7" t="s">
        <v>114</v>
      </c>
      <c r="C89" s="10"/>
    </row>
    <row r="90" spans="1:3" s="9" customFormat="1" x14ac:dyDescent="0.25">
      <c r="B90" s="7" t="s">
        <v>34</v>
      </c>
      <c r="C90" s="10"/>
    </row>
    <row r="91" spans="1:3" s="9" customFormat="1" x14ac:dyDescent="0.25">
      <c r="B91" s="7" t="s">
        <v>115</v>
      </c>
      <c r="C91" s="10"/>
    </row>
    <row r="92" spans="1:3" s="9" customFormat="1" x14ac:dyDescent="0.25">
      <c r="B92" s="31"/>
      <c r="C92" s="32"/>
    </row>
    <row r="93" spans="1:3" s="9" customFormat="1" ht="18.75" x14ac:dyDescent="0.3">
      <c r="A93" s="141" t="s">
        <v>64</v>
      </c>
      <c r="B93" s="141"/>
      <c r="C93" s="141"/>
    </row>
    <row r="94" spans="1:3" s="9" customFormat="1" ht="30" x14ac:dyDescent="0.25">
      <c r="B94" s="7" t="s">
        <v>65</v>
      </c>
      <c r="C94" s="10" t="s">
        <v>66</v>
      </c>
    </row>
    <row r="95" spans="1:3" s="9" customFormat="1" ht="30" x14ac:dyDescent="0.25">
      <c r="B95" s="7" t="s">
        <v>67</v>
      </c>
      <c r="C95" s="10" t="s">
        <v>73</v>
      </c>
    </row>
    <row r="96" spans="1:3" s="9" customFormat="1" ht="30" x14ac:dyDescent="0.25">
      <c r="B96" s="7" t="s">
        <v>68</v>
      </c>
      <c r="C96" s="10" t="s">
        <v>69</v>
      </c>
    </row>
    <row r="97" spans="1:3" s="9" customFormat="1" x14ac:dyDescent="0.25">
      <c r="B97" s="7" t="s">
        <v>70</v>
      </c>
      <c r="C97" s="10" t="s">
        <v>71</v>
      </c>
    </row>
    <row r="98" spans="1:3" s="9" customFormat="1" x14ac:dyDescent="0.25">
      <c r="B98" s="7" t="s">
        <v>72</v>
      </c>
      <c r="C98" s="10" t="s">
        <v>74</v>
      </c>
    </row>
    <row r="99" spans="1:3" s="9" customFormat="1" x14ac:dyDescent="0.25">
      <c r="B99" s="7" t="s">
        <v>34</v>
      </c>
      <c r="C99" s="10"/>
    </row>
    <row r="101" spans="1:3" s="9" customFormat="1" x14ac:dyDescent="0.25"/>
    <row r="102" spans="1:3" s="53" customFormat="1" ht="18.75" x14ac:dyDescent="0.3">
      <c r="A102" s="141" t="s">
        <v>142</v>
      </c>
      <c r="B102" s="141"/>
      <c r="C102" s="141"/>
    </row>
    <row r="103" spans="1:3" s="53" customFormat="1" x14ac:dyDescent="0.25">
      <c r="A103" s="56"/>
      <c r="B103" s="57" t="s">
        <v>176</v>
      </c>
      <c r="C103" s="58" t="s">
        <v>205</v>
      </c>
    </row>
    <row r="104" spans="1:3" s="53" customFormat="1" x14ac:dyDescent="0.25">
      <c r="A104" s="56"/>
      <c r="B104" s="57" t="s">
        <v>177</v>
      </c>
      <c r="C104" s="63" t="s">
        <v>436</v>
      </c>
    </row>
    <row r="105" spans="1:3" s="53" customFormat="1" x14ac:dyDescent="0.25">
      <c r="A105" s="56"/>
      <c r="B105" s="57" t="s">
        <v>434</v>
      </c>
      <c r="C105" s="58" t="s">
        <v>206</v>
      </c>
    </row>
    <row r="106" spans="1:3" s="53" customFormat="1" x14ac:dyDescent="0.25">
      <c r="A106" s="56"/>
      <c r="B106" s="60" t="s">
        <v>435</v>
      </c>
      <c r="C106" s="58" t="s">
        <v>457</v>
      </c>
    </row>
    <row r="107" spans="1:3" s="53" customFormat="1" x14ac:dyDescent="0.25">
      <c r="A107" s="56"/>
      <c r="B107" s="57" t="s">
        <v>178</v>
      </c>
      <c r="C107" s="58" t="s">
        <v>207</v>
      </c>
    </row>
    <row r="108" spans="1:3" s="53" customFormat="1" x14ac:dyDescent="0.25">
      <c r="A108" s="56"/>
      <c r="B108" s="57" t="s">
        <v>179</v>
      </c>
      <c r="C108" s="58" t="s">
        <v>208</v>
      </c>
    </row>
    <row r="109" spans="1:3" s="53" customFormat="1" x14ac:dyDescent="0.25">
      <c r="A109" s="56"/>
      <c r="B109" s="57" t="s">
        <v>180</v>
      </c>
      <c r="C109" s="56" t="s">
        <v>209</v>
      </c>
    </row>
    <row r="110" spans="1:3" s="53" customFormat="1" x14ac:dyDescent="0.25">
      <c r="A110" s="56"/>
      <c r="B110" s="57" t="s">
        <v>181</v>
      </c>
      <c r="C110" s="58" t="s">
        <v>182</v>
      </c>
    </row>
    <row r="111" spans="1:3" s="53" customFormat="1" x14ac:dyDescent="0.25">
      <c r="A111" s="56"/>
      <c r="B111" s="57" t="s">
        <v>183</v>
      </c>
      <c r="C111" s="58" t="s">
        <v>210</v>
      </c>
    </row>
    <row r="112" spans="1:3" s="53" customFormat="1" x14ac:dyDescent="0.25">
      <c r="A112" s="56"/>
      <c r="B112" s="57" t="s">
        <v>184</v>
      </c>
      <c r="C112" s="58" t="s">
        <v>185</v>
      </c>
    </row>
    <row r="113" spans="1:3" s="62" customFormat="1" x14ac:dyDescent="0.25">
      <c r="B113" s="86" t="s">
        <v>455</v>
      </c>
      <c r="C113" s="63"/>
    </row>
    <row r="114" spans="1:3" s="62" customFormat="1" x14ac:dyDescent="0.25">
      <c r="B114" s="86" t="s">
        <v>456</v>
      </c>
      <c r="C114" s="63"/>
    </row>
    <row r="115" spans="1:3" s="53" customFormat="1" x14ac:dyDescent="0.25">
      <c r="A115" s="56"/>
      <c r="B115" s="57" t="s">
        <v>34</v>
      </c>
      <c r="C115" s="58"/>
    </row>
    <row r="116" spans="1:3" s="53" customFormat="1" x14ac:dyDescent="0.25"/>
    <row r="117" spans="1:3" s="62" customFormat="1" ht="18.75" x14ac:dyDescent="0.3">
      <c r="A117" s="141" t="s">
        <v>417</v>
      </c>
      <c r="B117" s="141"/>
    </row>
    <row r="118" spans="1:3" s="62" customFormat="1" x14ac:dyDescent="0.25">
      <c r="B118" s="60" t="s">
        <v>418</v>
      </c>
    </row>
    <row r="119" spans="1:3" s="62" customFormat="1" x14ac:dyDescent="0.25">
      <c r="B119" s="60" t="s">
        <v>419</v>
      </c>
    </row>
    <row r="120" spans="1:3" s="62" customFormat="1" x14ac:dyDescent="0.25">
      <c r="B120" s="60" t="s">
        <v>420</v>
      </c>
    </row>
    <row r="121" spans="1:3" s="62" customFormat="1" x14ac:dyDescent="0.25">
      <c r="B121" s="60" t="s">
        <v>421</v>
      </c>
    </row>
    <row r="122" spans="1:3" s="62" customFormat="1" x14ac:dyDescent="0.25">
      <c r="B122" s="60" t="s">
        <v>422</v>
      </c>
    </row>
    <row r="123" spans="1:3" s="62" customFormat="1" x14ac:dyDescent="0.25">
      <c r="B123" s="60" t="s">
        <v>423</v>
      </c>
    </row>
    <row r="124" spans="1:3" s="62" customFormat="1" x14ac:dyDescent="0.25">
      <c r="B124" s="60" t="s">
        <v>424</v>
      </c>
    </row>
    <row r="125" spans="1:3" s="62" customFormat="1" x14ac:dyDescent="0.25">
      <c r="B125" s="60" t="s">
        <v>425</v>
      </c>
    </row>
    <row r="126" spans="1:3" s="62" customFormat="1" x14ac:dyDescent="0.25">
      <c r="B126" s="60" t="s">
        <v>426</v>
      </c>
    </row>
    <row r="127" spans="1:3" s="62" customFormat="1" x14ac:dyDescent="0.25">
      <c r="B127" s="60" t="s">
        <v>427</v>
      </c>
    </row>
    <row r="128" spans="1:3" s="62" customFormat="1" x14ac:dyDescent="0.25">
      <c r="B128" s="31"/>
    </row>
    <row r="129" spans="1:3" s="9" customFormat="1" ht="18.75" x14ac:dyDescent="0.3">
      <c r="A129" s="141" t="s">
        <v>96</v>
      </c>
      <c r="B129" s="141"/>
      <c r="C129" s="141"/>
    </row>
    <row r="130" spans="1:3" s="9" customFormat="1" x14ac:dyDescent="0.25">
      <c r="B130" s="7" t="s">
        <v>104</v>
      </c>
      <c r="C130" s="34"/>
    </row>
    <row r="131" spans="1:3" s="9" customFormat="1" x14ac:dyDescent="0.25">
      <c r="B131" s="8" t="s">
        <v>100</v>
      </c>
      <c r="C131" s="35"/>
    </row>
    <row r="132" spans="1:3" s="9" customFormat="1" x14ac:dyDescent="0.25">
      <c r="B132" s="8" t="s">
        <v>101</v>
      </c>
      <c r="C132" s="35"/>
    </row>
    <row r="133" spans="1:3" s="9" customFormat="1" x14ac:dyDescent="0.25">
      <c r="B133" s="7" t="s">
        <v>102</v>
      </c>
      <c r="C133" s="35"/>
    </row>
    <row r="134" spans="1:3" s="9" customFormat="1" x14ac:dyDescent="0.25">
      <c r="B134" s="8" t="s">
        <v>103</v>
      </c>
      <c r="C134" s="35"/>
    </row>
    <row r="135" spans="1:3" s="9" customFormat="1" x14ac:dyDescent="0.25"/>
    <row r="136" spans="1:3" s="9" customFormat="1" ht="18.75" x14ac:dyDescent="0.3">
      <c r="A136" s="141" t="s">
        <v>97</v>
      </c>
      <c r="B136" s="141"/>
      <c r="C136" s="141"/>
    </row>
    <row r="137" spans="1:3" s="9" customFormat="1" x14ac:dyDescent="0.25">
      <c r="B137" s="7" t="s">
        <v>130</v>
      </c>
      <c r="C137" s="34"/>
    </row>
    <row r="138" spans="1:3" s="9" customFormat="1" x14ac:dyDescent="0.25">
      <c r="B138" s="8" t="s">
        <v>131</v>
      </c>
      <c r="C138" s="35"/>
    </row>
    <row r="139" spans="1:3" s="9" customFormat="1" x14ac:dyDescent="0.25">
      <c r="B139" s="8" t="s">
        <v>132</v>
      </c>
      <c r="C139" s="35"/>
    </row>
    <row r="140" spans="1:3" s="9" customFormat="1" x14ac:dyDescent="0.25">
      <c r="B140" s="7" t="s">
        <v>133</v>
      </c>
      <c r="C140" s="35"/>
    </row>
    <row r="141" spans="1:3" s="9" customFormat="1" x14ac:dyDescent="0.25">
      <c r="B141" s="8" t="s">
        <v>34</v>
      </c>
      <c r="C141" s="35"/>
    </row>
    <row r="142" spans="1:3" s="9" customFormat="1" x14ac:dyDescent="0.25">
      <c r="B142" s="33"/>
      <c r="C142" s="33"/>
    </row>
    <row r="143" spans="1:3" ht="18.75" x14ac:dyDescent="0.3">
      <c r="A143" s="141" t="s">
        <v>1</v>
      </c>
      <c r="B143" s="141"/>
      <c r="C143" s="141"/>
    </row>
    <row r="144" spans="1:3" x14ac:dyDescent="0.25">
      <c r="B144" s="7" t="s">
        <v>20</v>
      </c>
      <c r="C144" s="7" t="s">
        <v>21</v>
      </c>
    </row>
    <row r="145" spans="1:3" x14ac:dyDescent="0.25">
      <c r="B145" s="8" t="s">
        <v>12</v>
      </c>
      <c r="C145" s="8" t="s">
        <v>13</v>
      </c>
    </row>
    <row r="146" spans="1:3" ht="30" x14ac:dyDescent="0.25">
      <c r="B146" s="8" t="s">
        <v>14</v>
      </c>
      <c r="C146" s="8" t="s">
        <v>15</v>
      </c>
    </row>
    <row r="147" spans="1:3" ht="30" x14ac:dyDescent="0.25">
      <c r="B147" s="8" t="s">
        <v>16</v>
      </c>
      <c r="C147" s="8" t="s">
        <v>17</v>
      </c>
    </row>
    <row r="148" spans="1:3" x14ac:dyDescent="0.25">
      <c r="B148" s="8" t="s">
        <v>18</v>
      </c>
      <c r="C148" s="8" t="s">
        <v>19</v>
      </c>
    </row>
    <row r="149" spans="1:3" x14ac:dyDescent="0.25">
      <c r="B149" s="88" t="s">
        <v>465</v>
      </c>
      <c r="C149" s="88" t="s">
        <v>468</v>
      </c>
    </row>
    <row r="150" spans="1:3" x14ac:dyDescent="0.25">
      <c r="B150" s="88" t="s">
        <v>466</v>
      </c>
      <c r="C150" s="88" t="s">
        <v>469</v>
      </c>
    </row>
    <row r="151" spans="1:3" x14ac:dyDescent="0.25">
      <c r="B151" s="88" t="s">
        <v>34</v>
      </c>
      <c r="C151" s="88" t="s">
        <v>467</v>
      </c>
    </row>
    <row r="153" spans="1:3" ht="18.75" x14ac:dyDescent="0.3">
      <c r="A153" s="141" t="s">
        <v>211</v>
      </c>
      <c r="B153" s="141"/>
      <c r="C153" s="141"/>
    </row>
    <row r="154" spans="1:3" x14ac:dyDescent="0.25">
      <c r="A154" s="59"/>
      <c r="B154" s="60" t="s">
        <v>186</v>
      </c>
      <c r="C154" s="60" t="s">
        <v>21</v>
      </c>
    </row>
    <row r="155" spans="1:3" x14ac:dyDescent="0.25">
      <c r="A155" s="59"/>
      <c r="B155" s="61" t="s">
        <v>115</v>
      </c>
      <c r="C155" s="61" t="s">
        <v>187</v>
      </c>
    </row>
    <row r="156" spans="1:3" x14ac:dyDescent="0.25">
      <c r="A156" s="59"/>
      <c r="B156" s="61" t="s">
        <v>188</v>
      </c>
      <c r="C156" s="61" t="s">
        <v>189</v>
      </c>
    </row>
    <row r="157" spans="1:3" x14ac:dyDescent="0.25">
      <c r="A157" s="59"/>
      <c r="B157" s="61" t="s">
        <v>190</v>
      </c>
      <c r="C157" s="61" t="s">
        <v>191</v>
      </c>
    </row>
    <row r="158" spans="1:3" x14ac:dyDescent="0.25">
      <c r="A158" s="59"/>
      <c r="B158" s="61" t="s">
        <v>192</v>
      </c>
      <c r="C158" s="61" t="s">
        <v>193</v>
      </c>
    </row>
    <row r="159" spans="1:3" x14ac:dyDescent="0.25">
      <c r="A159" s="59"/>
      <c r="B159" s="61" t="s">
        <v>194</v>
      </c>
      <c r="C159" s="61" t="s">
        <v>195</v>
      </c>
    </row>
    <row r="160" spans="1:3" x14ac:dyDescent="0.25">
      <c r="A160" s="59"/>
      <c r="B160" s="61" t="s">
        <v>196</v>
      </c>
      <c r="C160" s="61" t="s">
        <v>197</v>
      </c>
    </row>
    <row r="161" spans="1:3" x14ac:dyDescent="0.25">
      <c r="A161" s="59"/>
      <c r="B161" s="61" t="s">
        <v>198</v>
      </c>
      <c r="C161" s="61" t="s">
        <v>199</v>
      </c>
    </row>
    <row r="162" spans="1:3" x14ac:dyDescent="0.25">
      <c r="A162" s="59"/>
      <c r="B162" s="61" t="s">
        <v>200</v>
      </c>
      <c r="C162" s="61" t="s">
        <v>201</v>
      </c>
    </row>
    <row r="163" spans="1:3" x14ac:dyDescent="0.25">
      <c r="A163" s="59"/>
      <c r="B163" s="61" t="s">
        <v>194</v>
      </c>
      <c r="C163" s="61" t="s">
        <v>202</v>
      </c>
    </row>
    <row r="164" spans="1:3" x14ac:dyDescent="0.25">
      <c r="A164" s="59"/>
      <c r="B164" s="61" t="s">
        <v>196</v>
      </c>
      <c r="C164" s="61" t="s">
        <v>203</v>
      </c>
    </row>
    <row r="165" spans="1:3" x14ac:dyDescent="0.25">
      <c r="A165" s="59"/>
      <c r="B165" s="61" t="s">
        <v>34</v>
      </c>
      <c r="C165" s="61" t="s">
        <v>204</v>
      </c>
    </row>
    <row r="167" spans="1:3" ht="18.75" x14ac:dyDescent="0.3">
      <c r="A167" s="141" t="s">
        <v>458</v>
      </c>
      <c r="B167" s="141"/>
      <c r="C167" s="62"/>
    </row>
    <row r="168" spans="1:3" x14ac:dyDescent="0.25">
      <c r="A168" s="85"/>
      <c r="B168" s="60" t="s">
        <v>186</v>
      </c>
      <c r="C168" s="60" t="s">
        <v>21</v>
      </c>
    </row>
    <row r="169" spans="1:3" x14ac:dyDescent="0.25">
      <c r="A169" s="62"/>
      <c r="B169" s="60" t="s">
        <v>115</v>
      </c>
      <c r="C169" s="60"/>
    </row>
    <row r="170" spans="1:3" x14ac:dyDescent="0.25">
      <c r="A170" s="62"/>
      <c r="B170" s="61" t="s">
        <v>459</v>
      </c>
      <c r="C170" s="87" t="s">
        <v>460</v>
      </c>
    </row>
    <row r="171" spans="1:3" x14ac:dyDescent="0.25">
      <c r="A171" s="62"/>
      <c r="B171" s="61" t="s">
        <v>461</v>
      </c>
      <c r="C171" s="87" t="s">
        <v>462</v>
      </c>
    </row>
    <row r="172" spans="1:3" ht="30" x14ac:dyDescent="0.25">
      <c r="A172" s="62"/>
      <c r="B172" s="61" t="s">
        <v>463</v>
      </c>
      <c r="C172" s="61" t="s">
        <v>464</v>
      </c>
    </row>
  </sheetData>
  <mergeCells count="15">
    <mergeCell ref="A167:B167"/>
    <mergeCell ref="A153:C153"/>
    <mergeCell ref="A3:C3"/>
    <mergeCell ref="A143:C143"/>
    <mergeCell ref="A1:C2"/>
    <mergeCell ref="A93:C93"/>
    <mergeCell ref="A129:C129"/>
    <mergeCell ref="A64:C64"/>
    <mergeCell ref="A78:C78"/>
    <mergeCell ref="A35:C35"/>
    <mergeCell ref="A136:C136"/>
    <mergeCell ref="A26:C26"/>
    <mergeCell ref="A102:C102"/>
    <mergeCell ref="A44:C44"/>
    <mergeCell ref="A117:B117"/>
  </mergeCells>
  <hyperlinks>
    <hyperlink ref="C15" r:id="rId1" xr:uid="{00000000-0004-0000-0400-000000000000}"/>
  </hyperlinks>
  <pageMargins left="0.7" right="0.7" top="0.75" bottom="0.75" header="0.3" footer="0.3"/>
  <pageSetup paperSize="17" scale="73" fitToHeight="2"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4051B-00AA-4819-AF90-C5C940F86D5C}">
  <dimension ref="A2:E68"/>
  <sheetViews>
    <sheetView workbookViewId="0">
      <selection activeCell="E1" sqref="E1:E1048576"/>
    </sheetView>
  </sheetViews>
  <sheetFormatPr defaultRowHeight="15" x14ac:dyDescent="0.25"/>
  <cols>
    <col min="1" max="1" width="21.42578125" bestFit="1" customWidth="1"/>
    <col min="2" max="2" width="27.140625" bestFit="1" customWidth="1"/>
    <col min="3" max="3" width="26.42578125" bestFit="1" customWidth="1"/>
    <col min="4" max="4" width="21.42578125" bestFit="1" customWidth="1"/>
    <col min="5" max="5" width="19.5703125" bestFit="1" customWidth="1"/>
  </cols>
  <sheetData>
    <row r="2" spans="1:5" x14ac:dyDescent="0.25">
      <c r="A2" t="s">
        <v>690</v>
      </c>
      <c r="B2" t="s">
        <v>691</v>
      </c>
      <c r="C2" t="s">
        <v>692</v>
      </c>
      <c r="D2" t="s">
        <v>693</v>
      </c>
      <c r="E2" t="s">
        <v>782</v>
      </c>
    </row>
    <row r="3" spans="1:5" x14ac:dyDescent="0.25">
      <c r="A3" s="62" t="s">
        <v>600</v>
      </c>
      <c r="B3" t="s">
        <v>531</v>
      </c>
      <c r="C3" s="62" t="s">
        <v>718</v>
      </c>
    </row>
    <row r="4" spans="1:5" x14ac:dyDescent="0.25">
      <c r="A4" s="62" t="s">
        <v>601</v>
      </c>
      <c r="B4" t="s">
        <v>532</v>
      </c>
      <c r="C4" s="62" t="s">
        <v>719</v>
      </c>
    </row>
    <row r="5" spans="1:5" x14ac:dyDescent="0.25">
      <c r="A5" s="62" t="s">
        <v>602</v>
      </c>
      <c r="B5" t="s">
        <v>533</v>
      </c>
      <c r="C5" s="62" t="s">
        <v>720</v>
      </c>
    </row>
    <row r="6" spans="1:5" x14ac:dyDescent="0.25">
      <c r="A6" s="62" t="s">
        <v>603</v>
      </c>
      <c r="B6" t="s">
        <v>534</v>
      </c>
      <c r="C6" s="62" t="s">
        <v>721</v>
      </c>
    </row>
    <row r="7" spans="1:5" x14ac:dyDescent="0.25">
      <c r="A7" s="62" t="s">
        <v>604</v>
      </c>
      <c r="B7" t="s">
        <v>535</v>
      </c>
      <c r="C7" s="62" t="s">
        <v>722</v>
      </c>
    </row>
    <row r="8" spans="1:5" x14ac:dyDescent="0.25">
      <c r="A8" s="62" t="s">
        <v>605</v>
      </c>
      <c r="B8" t="s">
        <v>536</v>
      </c>
      <c r="C8" s="62" t="s">
        <v>723</v>
      </c>
    </row>
    <row r="9" spans="1:5" x14ac:dyDescent="0.25">
      <c r="A9" s="62" t="s">
        <v>606</v>
      </c>
      <c r="B9" t="s">
        <v>537</v>
      </c>
      <c r="C9" s="62" t="s">
        <v>724</v>
      </c>
    </row>
    <row r="10" spans="1:5" x14ac:dyDescent="0.25">
      <c r="A10" s="62" t="s">
        <v>607</v>
      </c>
      <c r="B10" t="s">
        <v>538</v>
      </c>
      <c r="C10" s="62" t="s">
        <v>725</v>
      </c>
    </row>
    <row r="11" spans="1:5" x14ac:dyDescent="0.25">
      <c r="A11" s="62" t="s">
        <v>608</v>
      </c>
      <c r="B11" t="s">
        <v>539</v>
      </c>
      <c r="C11" s="62" t="s">
        <v>726</v>
      </c>
    </row>
    <row r="12" spans="1:5" x14ac:dyDescent="0.25">
      <c r="A12" s="62" t="s">
        <v>609</v>
      </c>
      <c r="B12" t="s">
        <v>540</v>
      </c>
      <c r="C12" s="62" t="s">
        <v>727</v>
      </c>
    </row>
    <row r="13" spans="1:5" x14ac:dyDescent="0.25">
      <c r="A13" s="62" t="s">
        <v>610</v>
      </c>
      <c r="B13" t="s">
        <v>541</v>
      </c>
      <c r="C13" s="62" t="s">
        <v>728</v>
      </c>
    </row>
    <row r="14" spans="1:5" x14ac:dyDescent="0.25">
      <c r="A14" s="62" t="s">
        <v>611</v>
      </c>
      <c r="B14" t="s">
        <v>542</v>
      </c>
      <c r="C14" s="62" t="s">
        <v>729</v>
      </c>
    </row>
    <row r="15" spans="1:5" x14ac:dyDescent="0.25">
      <c r="A15" s="62" t="s">
        <v>612</v>
      </c>
      <c r="B15" t="s">
        <v>543</v>
      </c>
      <c r="C15" s="62" t="s">
        <v>730</v>
      </c>
    </row>
    <row r="16" spans="1:5" x14ac:dyDescent="0.25">
      <c r="A16" s="62" t="s">
        <v>613</v>
      </c>
      <c r="B16" t="s">
        <v>544</v>
      </c>
      <c r="C16" s="62" t="s">
        <v>731</v>
      </c>
    </row>
    <row r="17" spans="1:3" x14ac:dyDescent="0.25">
      <c r="A17" s="62" t="s">
        <v>614</v>
      </c>
      <c r="B17" t="s">
        <v>545</v>
      </c>
      <c r="C17" s="62" t="s">
        <v>732</v>
      </c>
    </row>
    <row r="18" spans="1:3" x14ac:dyDescent="0.25">
      <c r="A18" s="62" t="s">
        <v>615</v>
      </c>
      <c r="B18" t="s">
        <v>546</v>
      </c>
      <c r="C18" s="62" t="s">
        <v>733</v>
      </c>
    </row>
    <row r="19" spans="1:3" x14ac:dyDescent="0.25">
      <c r="A19" s="62" t="s">
        <v>616</v>
      </c>
      <c r="B19" t="s">
        <v>547</v>
      </c>
      <c r="C19" s="62" t="s">
        <v>734</v>
      </c>
    </row>
    <row r="20" spans="1:3" x14ac:dyDescent="0.25">
      <c r="A20" s="62" t="s">
        <v>617</v>
      </c>
      <c r="B20" t="s">
        <v>548</v>
      </c>
      <c r="C20" s="62" t="s">
        <v>735</v>
      </c>
    </row>
    <row r="21" spans="1:3" x14ac:dyDescent="0.25">
      <c r="A21" s="62" t="s">
        <v>618</v>
      </c>
      <c r="B21" t="s">
        <v>549</v>
      </c>
      <c r="C21" s="62" t="s">
        <v>736</v>
      </c>
    </row>
    <row r="22" spans="1:3" x14ac:dyDescent="0.25">
      <c r="A22" s="62" t="s">
        <v>619</v>
      </c>
      <c r="B22" t="s">
        <v>550</v>
      </c>
      <c r="C22" s="62" t="s">
        <v>737</v>
      </c>
    </row>
    <row r="23" spans="1:3" x14ac:dyDescent="0.25">
      <c r="A23" s="62" t="s">
        <v>620</v>
      </c>
      <c r="B23" t="s">
        <v>551</v>
      </c>
      <c r="C23" s="62" t="s">
        <v>738</v>
      </c>
    </row>
    <row r="24" spans="1:3" x14ac:dyDescent="0.25">
      <c r="A24" s="62" t="s">
        <v>621</v>
      </c>
      <c r="B24" t="s">
        <v>552</v>
      </c>
      <c r="C24" s="62" t="s">
        <v>739</v>
      </c>
    </row>
    <row r="25" spans="1:3" x14ac:dyDescent="0.25">
      <c r="A25" s="62" t="s">
        <v>622</v>
      </c>
      <c r="B25" t="s">
        <v>553</v>
      </c>
      <c r="C25" s="62" t="s">
        <v>740</v>
      </c>
    </row>
    <row r="26" spans="1:3" x14ac:dyDescent="0.25">
      <c r="A26" s="62" t="s">
        <v>623</v>
      </c>
      <c r="B26" t="s">
        <v>554</v>
      </c>
      <c r="C26" s="62" t="s">
        <v>741</v>
      </c>
    </row>
    <row r="27" spans="1:3" x14ac:dyDescent="0.25">
      <c r="A27" s="62" t="s">
        <v>624</v>
      </c>
      <c r="B27" t="s">
        <v>555</v>
      </c>
      <c r="C27" s="62" t="s">
        <v>742</v>
      </c>
    </row>
    <row r="28" spans="1:3" x14ac:dyDescent="0.25">
      <c r="A28" s="62" t="s">
        <v>625</v>
      </c>
      <c r="B28" t="s">
        <v>556</v>
      </c>
      <c r="C28" s="62" t="s">
        <v>743</v>
      </c>
    </row>
    <row r="29" spans="1:3" x14ac:dyDescent="0.25">
      <c r="A29" s="62" t="s">
        <v>626</v>
      </c>
      <c r="B29" t="s">
        <v>557</v>
      </c>
      <c r="C29" s="62" t="s">
        <v>744</v>
      </c>
    </row>
    <row r="30" spans="1:3" x14ac:dyDescent="0.25">
      <c r="A30" s="62" t="s">
        <v>627</v>
      </c>
      <c r="B30" t="s">
        <v>558</v>
      </c>
      <c r="C30" s="62" t="s">
        <v>745</v>
      </c>
    </row>
    <row r="31" spans="1:3" x14ac:dyDescent="0.25">
      <c r="A31" s="62" t="s">
        <v>628</v>
      </c>
      <c r="B31" t="s">
        <v>559</v>
      </c>
      <c r="C31" s="62" t="s">
        <v>746</v>
      </c>
    </row>
    <row r="32" spans="1:3" x14ac:dyDescent="0.25">
      <c r="A32" s="62" t="s">
        <v>629</v>
      </c>
      <c r="B32" t="s">
        <v>560</v>
      </c>
      <c r="C32" s="62" t="s">
        <v>747</v>
      </c>
    </row>
    <row r="33" spans="1:3" x14ac:dyDescent="0.25">
      <c r="A33" s="62" t="s">
        <v>630</v>
      </c>
      <c r="B33" t="s">
        <v>561</v>
      </c>
      <c r="C33" s="62" t="s">
        <v>748</v>
      </c>
    </row>
    <row r="34" spans="1:3" x14ac:dyDescent="0.25">
      <c r="A34" s="62" t="s">
        <v>631</v>
      </c>
      <c r="B34" t="s">
        <v>562</v>
      </c>
      <c r="C34" s="62" t="s">
        <v>749</v>
      </c>
    </row>
    <row r="35" spans="1:3" x14ac:dyDescent="0.25">
      <c r="A35" s="62" t="s">
        <v>632</v>
      </c>
      <c r="B35" t="s">
        <v>563</v>
      </c>
      <c r="C35" s="62" t="s">
        <v>750</v>
      </c>
    </row>
    <row r="36" spans="1:3" x14ac:dyDescent="0.25">
      <c r="A36" s="62" t="s">
        <v>633</v>
      </c>
      <c r="B36" t="s">
        <v>564</v>
      </c>
      <c r="C36" s="62" t="s">
        <v>751</v>
      </c>
    </row>
    <row r="37" spans="1:3" x14ac:dyDescent="0.25">
      <c r="A37" s="62" t="s">
        <v>634</v>
      </c>
      <c r="B37" t="s">
        <v>565</v>
      </c>
      <c r="C37" s="62" t="s">
        <v>752</v>
      </c>
    </row>
    <row r="38" spans="1:3" x14ac:dyDescent="0.25">
      <c r="A38" s="62" t="s">
        <v>635</v>
      </c>
      <c r="B38" t="s">
        <v>566</v>
      </c>
      <c r="C38" s="62" t="s">
        <v>753</v>
      </c>
    </row>
    <row r="39" spans="1:3" x14ac:dyDescent="0.25">
      <c r="A39" s="62" t="s">
        <v>636</v>
      </c>
      <c r="B39" t="s">
        <v>567</v>
      </c>
      <c r="C39" s="62" t="s">
        <v>754</v>
      </c>
    </row>
    <row r="40" spans="1:3" x14ac:dyDescent="0.25">
      <c r="A40" s="62" t="s">
        <v>637</v>
      </c>
      <c r="B40" t="s">
        <v>568</v>
      </c>
      <c r="C40" s="62" t="s">
        <v>755</v>
      </c>
    </row>
    <row r="41" spans="1:3" x14ac:dyDescent="0.25">
      <c r="A41" s="62" t="s">
        <v>638</v>
      </c>
      <c r="B41" t="s">
        <v>569</v>
      </c>
      <c r="C41" s="62" t="s">
        <v>756</v>
      </c>
    </row>
    <row r="42" spans="1:3" x14ac:dyDescent="0.25">
      <c r="A42" s="62" t="s">
        <v>639</v>
      </c>
      <c r="B42" t="s">
        <v>570</v>
      </c>
      <c r="C42" s="62" t="s">
        <v>757</v>
      </c>
    </row>
    <row r="43" spans="1:3" x14ac:dyDescent="0.25">
      <c r="C43" s="62"/>
    </row>
    <row r="44" spans="1:3" x14ac:dyDescent="0.25">
      <c r="A44" t="s">
        <v>694</v>
      </c>
      <c r="B44" t="s">
        <v>643</v>
      </c>
      <c r="C44" s="62" t="s">
        <v>758</v>
      </c>
    </row>
    <row r="45" spans="1:3" x14ac:dyDescent="0.25">
      <c r="A45" t="s">
        <v>695</v>
      </c>
      <c r="B45" t="s">
        <v>644</v>
      </c>
      <c r="C45" s="62" t="s">
        <v>759</v>
      </c>
    </row>
    <row r="46" spans="1:3" x14ac:dyDescent="0.25">
      <c r="A46" t="s">
        <v>696</v>
      </c>
      <c r="B46" t="s">
        <v>645</v>
      </c>
      <c r="C46" s="62" t="s">
        <v>760</v>
      </c>
    </row>
    <row r="47" spans="1:3" x14ac:dyDescent="0.25">
      <c r="A47" t="s">
        <v>697</v>
      </c>
      <c r="B47" t="s">
        <v>646</v>
      </c>
      <c r="C47" s="62" t="s">
        <v>761</v>
      </c>
    </row>
    <row r="48" spans="1:3" x14ac:dyDescent="0.25">
      <c r="A48" t="s">
        <v>698</v>
      </c>
      <c r="B48" t="s">
        <v>647</v>
      </c>
      <c r="C48" s="62" t="s">
        <v>762</v>
      </c>
    </row>
    <row r="49" spans="1:3" x14ac:dyDescent="0.25">
      <c r="A49" t="s">
        <v>699</v>
      </c>
      <c r="B49" t="s">
        <v>648</v>
      </c>
      <c r="C49" s="62" t="s">
        <v>763</v>
      </c>
    </row>
    <row r="50" spans="1:3" x14ac:dyDescent="0.25">
      <c r="A50" t="s">
        <v>700</v>
      </c>
      <c r="B50" t="s">
        <v>649</v>
      </c>
      <c r="C50" s="62" t="s">
        <v>764</v>
      </c>
    </row>
    <row r="51" spans="1:3" x14ac:dyDescent="0.25">
      <c r="A51" t="s">
        <v>701</v>
      </c>
      <c r="B51" t="s">
        <v>650</v>
      </c>
      <c r="C51" s="62" t="s">
        <v>765</v>
      </c>
    </row>
    <row r="52" spans="1:3" x14ac:dyDescent="0.25">
      <c r="C52" s="62"/>
    </row>
    <row r="53" spans="1:3" x14ac:dyDescent="0.25">
      <c r="A53" t="s">
        <v>702</v>
      </c>
      <c r="B53" t="s">
        <v>658</v>
      </c>
      <c r="C53" s="62" t="s">
        <v>766</v>
      </c>
    </row>
    <row r="54" spans="1:3" x14ac:dyDescent="0.25">
      <c r="A54" t="s">
        <v>703</v>
      </c>
      <c r="B54" t="s">
        <v>663</v>
      </c>
      <c r="C54" s="62" t="s">
        <v>767</v>
      </c>
    </row>
    <row r="55" spans="1:3" x14ac:dyDescent="0.25">
      <c r="A55" t="s">
        <v>704</v>
      </c>
      <c r="B55" t="s">
        <v>664</v>
      </c>
      <c r="C55" s="62" t="s">
        <v>768</v>
      </c>
    </row>
    <row r="56" spans="1:3" x14ac:dyDescent="0.25">
      <c r="A56" t="s">
        <v>705</v>
      </c>
      <c r="B56" t="s">
        <v>640</v>
      </c>
      <c r="C56" s="62" t="s">
        <v>769</v>
      </c>
    </row>
    <row r="57" spans="1:3" x14ac:dyDescent="0.25">
      <c r="A57" t="s">
        <v>706</v>
      </c>
      <c r="B57" t="s">
        <v>665</v>
      </c>
      <c r="C57" s="62" t="s">
        <v>770</v>
      </c>
    </row>
    <row r="58" spans="1:3" x14ac:dyDescent="0.25">
      <c r="A58" t="s">
        <v>707</v>
      </c>
      <c r="B58" t="s">
        <v>666</v>
      </c>
      <c r="C58" s="62" t="s">
        <v>771</v>
      </c>
    </row>
    <row r="59" spans="1:3" x14ac:dyDescent="0.25">
      <c r="A59" t="s">
        <v>708</v>
      </c>
      <c r="B59" t="s">
        <v>641</v>
      </c>
      <c r="C59" s="62" t="s">
        <v>772</v>
      </c>
    </row>
    <row r="60" spans="1:3" x14ac:dyDescent="0.25">
      <c r="A60" t="s">
        <v>709</v>
      </c>
      <c r="B60" t="s">
        <v>642</v>
      </c>
      <c r="C60" s="62" t="s">
        <v>773</v>
      </c>
    </row>
    <row r="61" spans="1:3" x14ac:dyDescent="0.25">
      <c r="A61" t="s">
        <v>710</v>
      </c>
      <c r="B61" t="s">
        <v>683</v>
      </c>
      <c r="C61" s="62" t="s">
        <v>774</v>
      </c>
    </row>
    <row r="62" spans="1:3" x14ac:dyDescent="0.25">
      <c r="A62" t="s">
        <v>711</v>
      </c>
      <c r="B62" t="s">
        <v>659</v>
      </c>
      <c r="C62" s="62" t="s">
        <v>775</v>
      </c>
    </row>
    <row r="63" spans="1:3" x14ac:dyDescent="0.25">
      <c r="A63" t="s">
        <v>712</v>
      </c>
      <c r="B63" t="s">
        <v>660</v>
      </c>
      <c r="C63" s="62" t="s">
        <v>776</v>
      </c>
    </row>
    <row r="64" spans="1:3" x14ac:dyDescent="0.25">
      <c r="A64" t="s">
        <v>713</v>
      </c>
      <c r="B64" t="s">
        <v>667</v>
      </c>
      <c r="C64" s="62" t="s">
        <v>777</v>
      </c>
    </row>
    <row r="65" spans="1:3" x14ac:dyDescent="0.25">
      <c r="A65" t="s">
        <v>714</v>
      </c>
      <c r="B65" t="s">
        <v>668</v>
      </c>
      <c r="C65" s="62" t="s">
        <v>778</v>
      </c>
    </row>
    <row r="66" spans="1:3" x14ac:dyDescent="0.25">
      <c r="A66" t="s">
        <v>715</v>
      </c>
      <c r="B66" t="s">
        <v>669</v>
      </c>
      <c r="C66" s="62" t="s">
        <v>779</v>
      </c>
    </row>
    <row r="67" spans="1:3" x14ac:dyDescent="0.25">
      <c r="A67" t="s">
        <v>716</v>
      </c>
      <c r="B67" t="s">
        <v>670</v>
      </c>
      <c r="C67" s="62" t="s">
        <v>780</v>
      </c>
    </row>
    <row r="68" spans="1:3" x14ac:dyDescent="0.25">
      <c r="A68" t="s">
        <v>717</v>
      </c>
      <c r="B68" t="s">
        <v>661</v>
      </c>
      <c r="C68" s="62" t="s">
        <v>781</v>
      </c>
    </row>
  </sheetData>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D10"/>
  <sheetViews>
    <sheetView workbookViewId="0">
      <selection activeCell="B4" sqref="B4"/>
    </sheetView>
  </sheetViews>
  <sheetFormatPr defaultColWidth="11.42578125" defaultRowHeight="15" x14ac:dyDescent="0.25"/>
  <cols>
    <col min="2" max="2" width="86.42578125" customWidth="1"/>
    <col min="3" max="3" width="27.7109375" customWidth="1"/>
  </cols>
  <sheetData>
    <row r="1" spans="1:4" s="9" customFormat="1" ht="15.75" thickBot="1" x14ac:dyDescent="0.3">
      <c r="A1" s="19" t="s">
        <v>47</v>
      </c>
      <c r="B1" s="19" t="s">
        <v>150</v>
      </c>
      <c r="C1" s="19" t="s">
        <v>48</v>
      </c>
      <c r="D1" s="18"/>
    </row>
    <row r="2" spans="1:4" x14ac:dyDescent="0.25">
      <c r="A2" s="12" t="s">
        <v>35</v>
      </c>
      <c r="B2" s="13" t="s">
        <v>151</v>
      </c>
      <c r="C2" s="20" t="s">
        <v>41</v>
      </c>
      <c r="D2" s="18"/>
    </row>
    <row r="3" spans="1:4" x14ac:dyDescent="0.25">
      <c r="A3" s="14" t="s">
        <v>36</v>
      </c>
      <c r="B3" s="69">
        <v>2.1</v>
      </c>
      <c r="C3" s="21" t="s">
        <v>42</v>
      </c>
      <c r="D3" s="18"/>
    </row>
    <row r="4" spans="1:4" ht="255" x14ac:dyDescent="0.25">
      <c r="A4" s="15" t="s">
        <v>37</v>
      </c>
      <c r="B4" s="11" t="s">
        <v>152</v>
      </c>
      <c r="C4" s="22" t="s">
        <v>45</v>
      </c>
      <c r="D4" s="18"/>
    </row>
    <row r="5" spans="1:4" ht="30" x14ac:dyDescent="0.25">
      <c r="A5" s="14" t="s">
        <v>38</v>
      </c>
      <c r="B5" s="62" t="str">
        <f xml:space="preserve"> "https://mhkdr.openei.org/models/WEC%20Lab%20Testing%20Content%20Model%20v" &amp; B3 &amp; ".xlsx"</f>
        <v>https://mhkdr.openei.org/models/WEC%20Lab%20Testing%20Content%20Model%20v2.1.xlsx</v>
      </c>
      <c r="C5" s="21" t="s">
        <v>40</v>
      </c>
      <c r="D5" s="18"/>
    </row>
    <row r="6" spans="1:4" ht="45" x14ac:dyDescent="0.25">
      <c r="A6" s="14" t="s">
        <v>39</v>
      </c>
      <c r="B6" s="10" t="s">
        <v>497</v>
      </c>
      <c r="C6" s="21" t="s">
        <v>43</v>
      </c>
      <c r="D6" s="18"/>
    </row>
    <row r="7" spans="1:4" s="9" customFormat="1" x14ac:dyDescent="0.25">
      <c r="A7" s="24" t="s">
        <v>50</v>
      </c>
      <c r="B7" s="25" t="s">
        <v>58</v>
      </c>
      <c r="C7" s="26" t="s">
        <v>51</v>
      </c>
      <c r="D7" s="18"/>
    </row>
    <row r="8" spans="1:4" ht="30.75" thickBot="1" x14ac:dyDescent="0.3">
      <c r="A8" s="16" t="s">
        <v>44</v>
      </c>
      <c r="B8" s="17" t="s">
        <v>498</v>
      </c>
      <c r="C8" s="23" t="s">
        <v>46</v>
      </c>
      <c r="D8" s="18"/>
    </row>
    <row r="9" spans="1:4" x14ac:dyDescent="0.25">
      <c r="A9" s="18"/>
      <c r="B9" s="18"/>
      <c r="C9" s="18"/>
      <c r="D9" s="18"/>
    </row>
    <row r="10" spans="1:4" x14ac:dyDescent="0.25">
      <c r="A10" s="18"/>
      <c r="B10" s="18"/>
      <c r="C10" s="18"/>
      <c r="D10" s="18"/>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59E9C-1F4B-4518-8803-A7C5EDAF5308}">
  <dimension ref="A1:AM41"/>
  <sheetViews>
    <sheetView tabSelected="1" workbookViewId="0">
      <selection activeCell="A2" sqref="A2:A41"/>
    </sheetView>
  </sheetViews>
  <sheetFormatPr defaultRowHeight="15" x14ac:dyDescent="0.25"/>
  <cols>
    <col min="1" max="1" width="30.28515625" bestFit="1" customWidth="1"/>
    <col min="2" max="2" width="30.28515625" style="62" customWidth="1"/>
    <col min="3" max="9" width="5.5703125" style="62" customWidth="1"/>
    <col min="10" max="10" width="22.7109375" style="62" bestFit="1" customWidth="1"/>
    <col min="11" max="11" width="10.140625" bestFit="1" customWidth="1"/>
    <col min="12" max="12" width="8.85546875" bestFit="1" customWidth="1"/>
    <col min="13" max="13" width="10.28515625" bestFit="1" customWidth="1"/>
    <col min="14" max="14" width="11.7109375" bestFit="1" customWidth="1"/>
    <col min="15" max="15" width="9.5703125" bestFit="1" customWidth="1"/>
    <col min="16" max="16" width="14.28515625" bestFit="1" customWidth="1"/>
    <col min="17" max="17" width="11.85546875" bestFit="1" customWidth="1"/>
    <col min="18" max="18" width="12.5703125" bestFit="1" customWidth="1"/>
    <col min="19" max="19" width="12.85546875" bestFit="1" customWidth="1"/>
    <col min="20" max="20" width="7.85546875" bestFit="1" customWidth="1"/>
    <col min="21" max="21" width="7.5703125" bestFit="1" customWidth="1"/>
    <col min="22" max="22" width="8.5703125" bestFit="1" customWidth="1"/>
    <col min="23" max="23" width="11.28515625" bestFit="1" customWidth="1"/>
    <col min="24" max="24" width="26.42578125" bestFit="1" customWidth="1"/>
  </cols>
  <sheetData>
    <row r="1" spans="1:39" x14ac:dyDescent="0.25">
      <c r="A1" t="s">
        <v>501</v>
      </c>
      <c r="C1" s="62" t="s">
        <v>525</v>
      </c>
      <c r="D1" s="62" t="s">
        <v>526</v>
      </c>
      <c r="E1" s="62" t="s">
        <v>527</v>
      </c>
      <c r="F1" s="62" t="s">
        <v>528</v>
      </c>
      <c r="H1" s="62" t="s">
        <v>529</v>
      </c>
      <c r="I1" s="62" t="s">
        <v>530</v>
      </c>
      <c r="J1" s="62" t="s">
        <v>593</v>
      </c>
      <c r="K1" t="s">
        <v>502</v>
      </c>
      <c r="L1" t="s">
        <v>503</v>
      </c>
      <c r="M1" t="s">
        <v>504</v>
      </c>
      <c r="N1" t="s">
        <v>505</v>
      </c>
      <c r="O1" t="s">
        <v>506</v>
      </c>
      <c r="P1" t="s">
        <v>507</v>
      </c>
      <c r="Q1" t="s">
        <v>508</v>
      </c>
      <c r="R1" t="s">
        <v>509</v>
      </c>
      <c r="S1" t="s">
        <v>510</v>
      </c>
      <c r="T1" t="s">
        <v>511</v>
      </c>
      <c r="U1" t="s">
        <v>512</v>
      </c>
      <c r="V1" t="s">
        <v>513</v>
      </c>
      <c r="W1" t="s">
        <v>594</v>
      </c>
      <c r="X1" t="s">
        <v>595</v>
      </c>
      <c r="Y1" s="46" t="s">
        <v>95</v>
      </c>
      <c r="Z1" s="46" t="s">
        <v>149</v>
      </c>
      <c r="AA1" s="46" t="s">
        <v>54</v>
      </c>
      <c r="AB1" s="46" t="s">
        <v>333</v>
      </c>
      <c r="AC1" s="46" t="s">
        <v>292</v>
      </c>
      <c r="AD1" s="46" t="s">
        <v>293</v>
      </c>
      <c r="AE1" s="46" t="s">
        <v>55</v>
      </c>
      <c r="AF1" s="46" t="s">
        <v>294</v>
      </c>
      <c r="AG1" s="46" t="s">
        <v>295</v>
      </c>
      <c r="AH1" s="46" t="s">
        <v>56</v>
      </c>
      <c r="AI1" s="46" t="s">
        <v>296</v>
      </c>
      <c r="AJ1" s="46" t="s">
        <v>297</v>
      </c>
      <c r="AK1" s="46" t="s">
        <v>57</v>
      </c>
      <c r="AL1" s="46" t="s">
        <v>332</v>
      </c>
      <c r="AM1" s="46" t="s">
        <v>298</v>
      </c>
    </row>
    <row r="2" spans="1:39" x14ac:dyDescent="0.25">
      <c r="A2" t="s">
        <v>531</v>
      </c>
      <c r="B2" s="62" t="str">
        <f>LEFT(RIGHT(A2,14),10)</f>
        <v>1221034715</v>
      </c>
      <c r="C2" s="62">
        <v>2017</v>
      </c>
      <c r="D2" s="62">
        <v>12</v>
      </c>
      <c r="E2" s="62">
        <f>_xlfn.NUMBERVALUE(MID(B2,3,2))</f>
        <v>21</v>
      </c>
      <c r="F2" s="147">
        <f>_xlfn.NUMBERVALUE(MID(B2,5,2))</f>
        <v>3</v>
      </c>
      <c r="G2" s="147">
        <f>IF(F2&lt;7,F2+12,F2)</f>
        <v>15</v>
      </c>
      <c r="H2" s="147">
        <f>_xlfn.NUMBERVALUE(MID(B2,7,2))</f>
        <v>47</v>
      </c>
      <c r="I2" s="147">
        <f>_xlfn.NUMBERVALUE(MID(B2,9,2))</f>
        <v>15</v>
      </c>
      <c r="J2" s="62" t="str">
        <f>C2&amp;"-"&amp;D2&amp;"-"&amp;E2&amp;"-"&amp;TEXT(G2,"00")&amp;":"&amp;TEXT(H2,"00")&amp;":"&amp;TEXT(I2,"00")&amp;"-04"</f>
        <v>2017-12-21-15:47:15-04</v>
      </c>
      <c r="K2">
        <v>0</v>
      </c>
      <c r="L2">
        <v>0</v>
      </c>
      <c r="M2">
        <v>904</v>
      </c>
      <c r="N2" s="150">
        <v>0.50084969999999995</v>
      </c>
      <c r="O2" s="150">
        <v>0.5637529</v>
      </c>
      <c r="P2" s="150">
        <v>-0.5692256</v>
      </c>
      <c r="Q2" s="150">
        <v>5.6545690000000004</v>
      </c>
      <c r="R2" s="150">
        <v>-23.225519999999999</v>
      </c>
      <c r="S2" s="150">
        <v>18.412659999999999</v>
      </c>
      <c r="T2" s="150">
        <v>0.37674800000000003</v>
      </c>
      <c r="U2" s="150">
        <v>0.37674800000000003</v>
      </c>
      <c r="V2" s="150">
        <v>4.6501270000000003</v>
      </c>
      <c r="W2">
        <f>VLOOKUP(L2,Sheet3!$E$1:$H$20,4,FALSE)</f>
        <v>1</v>
      </c>
      <c r="X2" t="str">
        <f>IF(K2=0,"Numerical Model Validation","Power Performance")</f>
        <v>Numerical Model Validation</v>
      </c>
      <c r="Y2" t="str">
        <f>VLOOKUP($K2,waveData!$K$3:$Z$11,2,FALSE)</f>
        <v>polychromatic long-crested head-on</v>
      </c>
      <c r="Z2" s="62" t="str">
        <f>VLOOKUP($K2,waveData!$K$3:$Z$11,3,FALSE)</f>
        <v>Custom</v>
      </c>
      <c r="AA2" s="62">
        <f>VLOOKUP($K2,waveData!$K$3:$Z$11,4,FALSE)</f>
        <v>0.14230000000000001</v>
      </c>
      <c r="AB2" s="62">
        <f>VLOOKUP($K2,waveData!$K$3:$Z$11,5,FALSE)</f>
        <v>2.6682999999999999</v>
      </c>
      <c r="AC2" s="62" t="str">
        <f>VLOOKUP($K2,waveData!$K$3:$Z$11,6,FALSE)</f>
        <v xml:space="preserve"> </v>
      </c>
      <c r="AD2" s="62">
        <f>VLOOKUP($K2,waveData!$K$3:$Z$11,7,FALSE)</f>
        <v>2.06E-2</v>
      </c>
      <c r="AE2" s="62">
        <f>VLOOKUP($K2,waveData!$K$3:$Z$11,8,FALSE)</f>
        <v>0</v>
      </c>
      <c r="AF2" s="62" t="str">
        <f>VLOOKUP($K2,waveData!$K$3:$Z$11,9,FALSE)</f>
        <v xml:space="preserve"> </v>
      </c>
      <c r="AG2" s="62" t="str">
        <f>VLOOKUP($K2,waveData!$K$3:$Z$11,10,FALSE)</f>
        <v xml:space="preserve"> </v>
      </c>
      <c r="AH2" s="62">
        <f>VLOOKUP($K2,waveData!$K$3:$Z$11,11,FALSE)</f>
        <v>21.700199999999999</v>
      </c>
      <c r="AI2" s="62">
        <f>VLOOKUP($K2,waveData!$K$3:$Z$11,12,FALSE)</f>
        <v>2.1032000000000002</v>
      </c>
      <c r="AJ2" s="62">
        <f>VLOOKUP($K2,waveData!$K$3:$Z$11,13,FALSE)</f>
        <v>0.52810000000000001</v>
      </c>
      <c r="AK2" s="62">
        <f>VLOOKUP($K2,waveData!$K$3:$Z$11,14,FALSE)</f>
        <v>4.3</v>
      </c>
      <c r="AL2" s="62" t="str">
        <f>VLOOKUP($K2,waveData!$K$3:$Z$11,15,FALSE)</f>
        <v xml:space="preserve"> </v>
      </c>
      <c r="AM2" s="62">
        <f>VLOOKUP($K2,waveData!$K$3:$Z$11,16,FALSE)</f>
        <v>1000</v>
      </c>
    </row>
    <row r="3" spans="1:39" x14ac:dyDescent="0.25">
      <c r="A3" t="s">
        <v>532</v>
      </c>
      <c r="B3" s="62" t="str">
        <f t="shared" ref="B3:B41" si="0">LEFT(RIGHT(A3,14),10)</f>
        <v>1219104420</v>
      </c>
      <c r="C3" s="62">
        <v>2017</v>
      </c>
      <c r="D3" s="62">
        <v>12</v>
      </c>
      <c r="E3" s="62">
        <f t="shared" ref="E3:E41" si="1">_xlfn.NUMBERVALUE(MID(B3,3,2))</f>
        <v>19</v>
      </c>
      <c r="F3" s="147">
        <f t="shared" ref="F3:F41" si="2">_xlfn.NUMBERVALUE(MID(B3,5,2))</f>
        <v>10</v>
      </c>
      <c r="G3" s="147">
        <f t="shared" ref="G3:G41" si="3">IF(F3&lt;7,F3+12,F3)</f>
        <v>10</v>
      </c>
      <c r="H3" s="147">
        <f t="shared" ref="H3:H41" si="4">_xlfn.NUMBERVALUE(MID(B3,7,2))</f>
        <v>44</v>
      </c>
      <c r="I3" s="147">
        <f t="shared" ref="I3:I41" si="5">_xlfn.NUMBERVALUE(MID(B3,9,2))</f>
        <v>20</v>
      </c>
      <c r="J3" s="62" t="str">
        <f>C3&amp;"-"&amp;D3&amp;"-"&amp;E3&amp;"-"&amp;TEXT(G3,"00")&amp;":"&amp;TEXT(H3,"00")&amp;":"&amp;TEXT(I3,"00")&amp;"-04"</f>
        <v>2017-12-19-10:44:20-04</v>
      </c>
      <c r="K3">
        <v>0</v>
      </c>
      <c r="L3">
        <v>200</v>
      </c>
      <c r="M3">
        <v>904</v>
      </c>
      <c r="N3" s="150">
        <v>1.54549</v>
      </c>
      <c r="O3" s="150">
        <v>2.2612930000000002</v>
      </c>
      <c r="P3" s="150">
        <v>0.50286330000000001</v>
      </c>
      <c r="Q3" s="150">
        <v>2.2529279999999998</v>
      </c>
      <c r="R3" s="150">
        <v>-7.6517480000000004</v>
      </c>
      <c r="S3" s="150">
        <v>9.8897560000000002</v>
      </c>
      <c r="T3" s="150">
        <v>-1.217906E-2</v>
      </c>
      <c r="U3" s="150">
        <v>-1.217906E-2</v>
      </c>
      <c r="V3" s="150">
        <v>98.596320000000006</v>
      </c>
      <c r="W3" s="62">
        <f>VLOOKUP(L3,Sheet3!$E$1:$H$20,4,FALSE)</f>
        <v>5</v>
      </c>
      <c r="X3" s="62" t="str">
        <f t="shared" ref="X3:X41" si="6">IF(K3=0,"Numerical Model Validation","Power Performance")</f>
        <v>Numerical Model Validation</v>
      </c>
      <c r="Y3" s="62" t="str">
        <f>VLOOKUP($K3,waveData!$K$3:$Z$11,2,FALSE)</f>
        <v>polychromatic long-crested head-on</v>
      </c>
      <c r="Z3" s="62" t="str">
        <f>VLOOKUP($K3,waveData!$K$3:$Z$11,3,FALSE)</f>
        <v>Custom</v>
      </c>
      <c r="AA3" s="62">
        <f>VLOOKUP($K3,waveData!$K$3:$Z$11,4,FALSE)</f>
        <v>0.14230000000000001</v>
      </c>
      <c r="AB3" s="62">
        <f>VLOOKUP($K3,waveData!$K$3:$Z$11,5,FALSE)</f>
        <v>2.6682999999999999</v>
      </c>
      <c r="AC3" s="62" t="str">
        <f>VLOOKUP($K3,waveData!$K$3:$Z$11,6,FALSE)</f>
        <v xml:space="preserve"> </v>
      </c>
      <c r="AD3" s="62">
        <f>VLOOKUP($K3,waveData!$K$3:$Z$11,7,FALSE)</f>
        <v>2.06E-2</v>
      </c>
      <c r="AE3" s="62">
        <f>VLOOKUP($K3,waveData!$K$3:$Z$11,8,FALSE)</f>
        <v>0</v>
      </c>
      <c r="AF3" s="62" t="str">
        <f>VLOOKUP($K3,waveData!$K$3:$Z$11,9,FALSE)</f>
        <v xml:space="preserve"> </v>
      </c>
      <c r="AG3" s="62" t="str">
        <f>VLOOKUP($K3,waveData!$K$3:$Z$11,10,FALSE)</f>
        <v xml:space="preserve"> </v>
      </c>
      <c r="AH3" s="62">
        <f>VLOOKUP($K3,waveData!$K$3:$Z$11,11,FALSE)</f>
        <v>21.700199999999999</v>
      </c>
      <c r="AI3" s="62">
        <f>VLOOKUP($K3,waveData!$K$3:$Z$11,12,FALSE)</f>
        <v>2.1032000000000002</v>
      </c>
      <c r="AJ3" s="62">
        <f>VLOOKUP($K3,waveData!$K$3:$Z$11,13,FALSE)</f>
        <v>0.52810000000000001</v>
      </c>
      <c r="AK3" s="62">
        <f>VLOOKUP($K3,waveData!$K$3:$Z$11,14,FALSE)</f>
        <v>4.3</v>
      </c>
      <c r="AL3" s="62" t="str">
        <f>VLOOKUP($K3,waveData!$K$3:$Z$11,15,FALSE)</f>
        <v xml:space="preserve"> </v>
      </c>
      <c r="AM3" s="62">
        <f>VLOOKUP($K3,waveData!$K$3:$Z$11,16,FALSE)</f>
        <v>1000</v>
      </c>
    </row>
    <row r="4" spans="1:39" x14ac:dyDescent="0.25">
      <c r="A4" t="s">
        <v>533</v>
      </c>
      <c r="B4" s="62" t="str">
        <f t="shared" si="0"/>
        <v>1219110111</v>
      </c>
      <c r="C4" s="62">
        <v>2017</v>
      </c>
      <c r="D4" s="62">
        <v>12</v>
      </c>
      <c r="E4" s="62">
        <f t="shared" si="1"/>
        <v>19</v>
      </c>
      <c r="F4" s="147">
        <f t="shared" si="2"/>
        <v>11</v>
      </c>
      <c r="G4" s="147">
        <f t="shared" si="3"/>
        <v>11</v>
      </c>
      <c r="H4" s="147">
        <f t="shared" si="4"/>
        <v>1</v>
      </c>
      <c r="I4" s="147">
        <f t="shared" si="5"/>
        <v>11</v>
      </c>
      <c r="J4" s="62" t="str">
        <f t="shared" ref="J4:J41" si="7">C4&amp;"-"&amp;D4&amp;"-"&amp;E4&amp;"-"&amp;TEXT(G4,"00")&amp;":"&amp;TEXT(H4,"00")&amp;":"&amp;TEXT(I4,"00")&amp;"-04"</f>
        <v>2017-12-19-11:01:11-04</v>
      </c>
      <c r="K4">
        <v>0</v>
      </c>
      <c r="L4">
        <v>400</v>
      </c>
      <c r="M4">
        <v>904</v>
      </c>
      <c r="N4" s="150">
        <v>1.3812390000000001</v>
      </c>
      <c r="O4" s="150">
        <v>1.9921789999999999</v>
      </c>
      <c r="P4" s="150">
        <v>0.70989570000000002</v>
      </c>
      <c r="Q4" s="150">
        <v>1.642385</v>
      </c>
      <c r="R4" s="150">
        <v>-4.8394339999999998</v>
      </c>
      <c r="S4" s="150">
        <v>7.6117379999999999</v>
      </c>
      <c r="T4" s="150">
        <v>6.8339460000000005E-2</v>
      </c>
      <c r="U4" s="150">
        <v>6.8339460000000005E-2</v>
      </c>
      <c r="V4" s="150">
        <v>128.91319999999999</v>
      </c>
      <c r="W4" s="62">
        <f>VLOOKUP(L4,Sheet3!$E$1:$H$20,4,FALSE)</f>
        <v>15</v>
      </c>
      <c r="X4" s="62" t="str">
        <f t="shared" si="6"/>
        <v>Numerical Model Validation</v>
      </c>
      <c r="Y4" s="62" t="str">
        <f>VLOOKUP($K4,waveData!$K$3:$Z$11,2,FALSE)</f>
        <v>polychromatic long-crested head-on</v>
      </c>
      <c r="Z4" s="62" t="str">
        <f>VLOOKUP($K4,waveData!$K$3:$Z$11,3,FALSE)</f>
        <v>Custom</v>
      </c>
      <c r="AA4" s="62">
        <f>VLOOKUP($K4,waveData!$K$3:$Z$11,4,FALSE)</f>
        <v>0.14230000000000001</v>
      </c>
      <c r="AB4" s="62">
        <f>VLOOKUP($K4,waveData!$K$3:$Z$11,5,FALSE)</f>
        <v>2.6682999999999999</v>
      </c>
      <c r="AC4" s="62" t="str">
        <f>VLOOKUP($K4,waveData!$K$3:$Z$11,6,FALSE)</f>
        <v xml:space="preserve"> </v>
      </c>
      <c r="AD4" s="62">
        <f>VLOOKUP($K4,waveData!$K$3:$Z$11,7,FALSE)</f>
        <v>2.06E-2</v>
      </c>
      <c r="AE4" s="62">
        <f>VLOOKUP($K4,waveData!$K$3:$Z$11,8,FALSE)</f>
        <v>0</v>
      </c>
      <c r="AF4" s="62" t="str">
        <f>VLOOKUP($K4,waveData!$K$3:$Z$11,9,FALSE)</f>
        <v xml:space="preserve"> </v>
      </c>
      <c r="AG4" s="62" t="str">
        <f>VLOOKUP($K4,waveData!$K$3:$Z$11,10,FALSE)</f>
        <v xml:space="preserve"> </v>
      </c>
      <c r="AH4" s="62">
        <f>VLOOKUP($K4,waveData!$K$3:$Z$11,11,FALSE)</f>
        <v>21.700199999999999</v>
      </c>
      <c r="AI4" s="62">
        <f>VLOOKUP($K4,waveData!$K$3:$Z$11,12,FALSE)</f>
        <v>2.1032000000000002</v>
      </c>
      <c r="AJ4" s="62">
        <f>VLOOKUP($K4,waveData!$K$3:$Z$11,13,FALSE)</f>
        <v>0.52810000000000001</v>
      </c>
      <c r="AK4" s="62">
        <f>VLOOKUP($K4,waveData!$K$3:$Z$11,14,FALSE)</f>
        <v>4.3</v>
      </c>
      <c r="AL4" s="62" t="str">
        <f>VLOOKUP($K4,waveData!$K$3:$Z$11,15,FALSE)</f>
        <v xml:space="preserve"> </v>
      </c>
      <c r="AM4" s="62">
        <f>VLOOKUP($K4,waveData!$K$3:$Z$11,16,FALSE)</f>
        <v>1000</v>
      </c>
    </row>
    <row r="5" spans="1:39" x14ac:dyDescent="0.25">
      <c r="A5" t="s">
        <v>534</v>
      </c>
      <c r="B5" s="62" t="str">
        <f t="shared" si="0"/>
        <v>1219110153</v>
      </c>
      <c r="C5" s="62">
        <v>2017</v>
      </c>
      <c r="D5" s="62">
        <v>12</v>
      </c>
      <c r="E5" s="62">
        <f t="shared" si="1"/>
        <v>19</v>
      </c>
      <c r="F5" s="147">
        <f t="shared" si="2"/>
        <v>11</v>
      </c>
      <c r="G5" s="147">
        <f t="shared" si="3"/>
        <v>11</v>
      </c>
      <c r="H5" s="147">
        <f t="shared" si="4"/>
        <v>1</v>
      </c>
      <c r="I5" s="147">
        <f t="shared" si="5"/>
        <v>53</v>
      </c>
      <c r="J5" s="62" t="str">
        <f t="shared" si="7"/>
        <v>2017-12-19-11:01:53-04</v>
      </c>
      <c r="K5">
        <v>0</v>
      </c>
      <c r="L5">
        <v>400</v>
      </c>
      <c r="M5">
        <v>904</v>
      </c>
      <c r="N5" s="150">
        <v>1.3812390000000001</v>
      </c>
      <c r="O5" s="150">
        <v>1.9921789999999999</v>
      </c>
      <c r="P5" s="150">
        <v>0.70989570000000002</v>
      </c>
      <c r="Q5" s="150">
        <v>1.642385</v>
      </c>
      <c r="R5" s="150">
        <v>-4.8394339999999998</v>
      </c>
      <c r="S5" s="150">
        <v>7.6117379999999999</v>
      </c>
      <c r="T5" s="150">
        <v>6.8339460000000005E-2</v>
      </c>
      <c r="U5" s="150">
        <v>6.8339460000000005E-2</v>
      </c>
      <c r="V5" s="150">
        <v>128.91319999999999</v>
      </c>
      <c r="W5" s="62">
        <f>VLOOKUP(L5,Sheet3!$E$1:$H$20,4,FALSE)</f>
        <v>15</v>
      </c>
      <c r="X5" s="62" t="str">
        <f t="shared" si="6"/>
        <v>Numerical Model Validation</v>
      </c>
      <c r="Y5" s="62" t="str">
        <f>VLOOKUP($K5,waveData!$K$3:$Z$11,2,FALSE)</f>
        <v>polychromatic long-crested head-on</v>
      </c>
      <c r="Z5" s="62" t="str">
        <f>VLOOKUP($K5,waveData!$K$3:$Z$11,3,FALSE)</f>
        <v>Custom</v>
      </c>
      <c r="AA5" s="62">
        <f>VLOOKUP($K5,waveData!$K$3:$Z$11,4,FALSE)</f>
        <v>0.14230000000000001</v>
      </c>
      <c r="AB5" s="62">
        <f>VLOOKUP($K5,waveData!$K$3:$Z$11,5,FALSE)</f>
        <v>2.6682999999999999</v>
      </c>
      <c r="AC5" s="62" t="str">
        <f>VLOOKUP($K5,waveData!$K$3:$Z$11,6,FALSE)</f>
        <v xml:space="preserve"> </v>
      </c>
      <c r="AD5" s="62">
        <f>VLOOKUP($K5,waveData!$K$3:$Z$11,7,FALSE)</f>
        <v>2.06E-2</v>
      </c>
      <c r="AE5" s="62">
        <f>VLOOKUP($K5,waveData!$K$3:$Z$11,8,FALSE)</f>
        <v>0</v>
      </c>
      <c r="AF5" s="62" t="str">
        <f>VLOOKUP($K5,waveData!$K$3:$Z$11,9,FALSE)</f>
        <v xml:space="preserve"> </v>
      </c>
      <c r="AG5" s="62" t="str">
        <f>VLOOKUP($K5,waveData!$K$3:$Z$11,10,FALSE)</f>
        <v xml:space="preserve"> </v>
      </c>
      <c r="AH5" s="62">
        <f>VLOOKUP($K5,waveData!$K$3:$Z$11,11,FALSE)</f>
        <v>21.700199999999999</v>
      </c>
      <c r="AI5" s="62">
        <f>VLOOKUP($K5,waveData!$K$3:$Z$11,12,FALSE)</f>
        <v>2.1032000000000002</v>
      </c>
      <c r="AJ5" s="62">
        <f>VLOOKUP($K5,waveData!$K$3:$Z$11,13,FALSE)</f>
        <v>0.52810000000000001</v>
      </c>
      <c r="AK5" s="62">
        <f>VLOOKUP($K5,waveData!$K$3:$Z$11,14,FALSE)</f>
        <v>4.3</v>
      </c>
      <c r="AL5" s="62" t="str">
        <f>VLOOKUP($K5,waveData!$K$3:$Z$11,15,FALSE)</f>
        <v xml:space="preserve"> </v>
      </c>
      <c r="AM5" s="62">
        <f>VLOOKUP($K5,waveData!$K$3:$Z$11,16,FALSE)</f>
        <v>1000</v>
      </c>
    </row>
    <row r="6" spans="1:39" x14ac:dyDescent="0.25">
      <c r="A6" t="s">
        <v>535</v>
      </c>
      <c r="B6" s="62" t="str">
        <f t="shared" si="0"/>
        <v>1219112185</v>
      </c>
      <c r="C6" s="62">
        <v>2017</v>
      </c>
      <c r="D6" s="62">
        <v>12</v>
      </c>
      <c r="E6" s="62">
        <f t="shared" si="1"/>
        <v>19</v>
      </c>
      <c r="F6" s="147">
        <f t="shared" si="2"/>
        <v>11</v>
      </c>
      <c r="G6" s="147">
        <f t="shared" si="3"/>
        <v>11</v>
      </c>
      <c r="H6" s="147">
        <f t="shared" si="4"/>
        <v>21</v>
      </c>
      <c r="I6" s="147">
        <f t="shared" si="5"/>
        <v>85</v>
      </c>
      <c r="J6" s="62" t="str">
        <f t="shared" si="7"/>
        <v>2017-12-19-11:21:85-04</v>
      </c>
      <c r="K6">
        <v>0</v>
      </c>
      <c r="L6">
        <v>550</v>
      </c>
      <c r="M6">
        <v>904</v>
      </c>
      <c r="N6" s="150">
        <v>1.287086</v>
      </c>
      <c r="O6" s="150">
        <v>1.8321400000000001</v>
      </c>
      <c r="P6" s="150">
        <v>0.79921410000000004</v>
      </c>
      <c r="Q6" s="150">
        <v>1.3984350000000001</v>
      </c>
      <c r="R6" s="150">
        <v>-3.9866519999999999</v>
      </c>
      <c r="S6" s="150">
        <v>6.6456720000000002</v>
      </c>
      <c r="T6" s="150">
        <v>-0.205925</v>
      </c>
      <c r="U6" s="150">
        <v>-0.205925</v>
      </c>
      <c r="V6" s="150">
        <v>143.80760000000001</v>
      </c>
      <c r="W6" s="62">
        <f>VLOOKUP(L6,Sheet3!$E$1:$H$20,4,FALSE)</f>
        <v>19</v>
      </c>
      <c r="X6" s="62" t="str">
        <f t="shared" si="6"/>
        <v>Numerical Model Validation</v>
      </c>
      <c r="Y6" s="62" t="str">
        <f>VLOOKUP($K6,waveData!$K$3:$Z$11,2,FALSE)</f>
        <v>polychromatic long-crested head-on</v>
      </c>
      <c r="Z6" s="62" t="str">
        <f>VLOOKUP($K6,waveData!$K$3:$Z$11,3,FALSE)</f>
        <v>Custom</v>
      </c>
      <c r="AA6" s="62">
        <f>VLOOKUP($K6,waveData!$K$3:$Z$11,4,FALSE)</f>
        <v>0.14230000000000001</v>
      </c>
      <c r="AB6" s="62">
        <f>VLOOKUP($K6,waveData!$K$3:$Z$11,5,FALSE)</f>
        <v>2.6682999999999999</v>
      </c>
      <c r="AC6" s="62" t="str">
        <f>VLOOKUP($K6,waveData!$K$3:$Z$11,6,FALSE)</f>
        <v xml:space="preserve"> </v>
      </c>
      <c r="AD6" s="62">
        <f>VLOOKUP($K6,waveData!$K$3:$Z$11,7,FALSE)</f>
        <v>2.06E-2</v>
      </c>
      <c r="AE6" s="62">
        <f>VLOOKUP($K6,waveData!$K$3:$Z$11,8,FALSE)</f>
        <v>0</v>
      </c>
      <c r="AF6" s="62" t="str">
        <f>VLOOKUP($K6,waveData!$K$3:$Z$11,9,FALSE)</f>
        <v xml:space="preserve"> </v>
      </c>
      <c r="AG6" s="62" t="str">
        <f>VLOOKUP($K6,waveData!$K$3:$Z$11,10,FALSE)</f>
        <v xml:space="preserve"> </v>
      </c>
      <c r="AH6" s="62">
        <f>VLOOKUP($K6,waveData!$K$3:$Z$11,11,FALSE)</f>
        <v>21.700199999999999</v>
      </c>
      <c r="AI6" s="62">
        <f>VLOOKUP($K6,waveData!$K$3:$Z$11,12,FALSE)</f>
        <v>2.1032000000000002</v>
      </c>
      <c r="AJ6" s="62">
        <f>VLOOKUP($K6,waveData!$K$3:$Z$11,13,FALSE)</f>
        <v>0.52810000000000001</v>
      </c>
      <c r="AK6" s="62">
        <f>VLOOKUP($K6,waveData!$K$3:$Z$11,14,FALSE)</f>
        <v>4.3</v>
      </c>
      <c r="AL6" s="62" t="str">
        <f>VLOOKUP($K6,waveData!$K$3:$Z$11,15,FALSE)</f>
        <v xml:space="preserve"> </v>
      </c>
      <c r="AM6" s="62">
        <f>VLOOKUP($K6,waveData!$K$3:$Z$11,16,FALSE)</f>
        <v>1000</v>
      </c>
    </row>
    <row r="7" spans="1:39" x14ac:dyDescent="0.25">
      <c r="A7" t="s">
        <v>536</v>
      </c>
      <c r="B7" s="62" t="str">
        <f t="shared" si="0"/>
        <v>1219115145</v>
      </c>
      <c r="C7" s="62">
        <v>2017</v>
      </c>
      <c r="D7" s="62">
        <v>12</v>
      </c>
      <c r="E7" s="62">
        <f t="shared" si="1"/>
        <v>19</v>
      </c>
      <c r="F7" s="147">
        <f t="shared" si="2"/>
        <v>11</v>
      </c>
      <c r="G7" s="147">
        <f t="shared" si="3"/>
        <v>11</v>
      </c>
      <c r="H7" s="147">
        <f t="shared" si="4"/>
        <v>51</v>
      </c>
      <c r="I7" s="147">
        <f t="shared" si="5"/>
        <v>45</v>
      </c>
      <c r="J7" s="62" t="str">
        <f t="shared" si="7"/>
        <v>2017-12-19-11:51:45-04</v>
      </c>
      <c r="K7">
        <v>0</v>
      </c>
      <c r="L7">
        <v>550</v>
      </c>
      <c r="M7">
        <v>904</v>
      </c>
      <c r="N7" s="150">
        <v>1.2932920000000001</v>
      </c>
      <c r="O7" s="150">
        <v>1.842641</v>
      </c>
      <c r="P7" s="150">
        <v>0.54599529999999996</v>
      </c>
      <c r="Q7" s="150">
        <v>1.399681</v>
      </c>
      <c r="R7" s="150">
        <v>-4.2102979999999999</v>
      </c>
      <c r="S7" s="150">
        <v>6.3731980000000004</v>
      </c>
      <c r="T7" s="150">
        <v>0.2061432</v>
      </c>
      <c r="U7" s="150">
        <v>0.2061432</v>
      </c>
      <c r="V7" s="150">
        <v>143.9306</v>
      </c>
      <c r="W7" s="62">
        <f>VLOOKUP(L7,Sheet3!$E$1:$H$20,4,FALSE)</f>
        <v>19</v>
      </c>
      <c r="X7" s="62" t="str">
        <f t="shared" si="6"/>
        <v>Numerical Model Validation</v>
      </c>
      <c r="Y7" s="62" t="str">
        <f>VLOOKUP($K7,waveData!$K$3:$Z$11,2,FALSE)</f>
        <v>polychromatic long-crested head-on</v>
      </c>
      <c r="Z7" s="62" t="str">
        <f>VLOOKUP($K7,waveData!$K$3:$Z$11,3,FALSE)</f>
        <v>Custom</v>
      </c>
      <c r="AA7" s="62">
        <f>VLOOKUP($K7,waveData!$K$3:$Z$11,4,FALSE)</f>
        <v>0.14230000000000001</v>
      </c>
      <c r="AB7" s="62">
        <f>VLOOKUP($K7,waveData!$K$3:$Z$11,5,FALSE)</f>
        <v>2.6682999999999999</v>
      </c>
      <c r="AC7" s="62" t="str">
        <f>VLOOKUP($K7,waveData!$K$3:$Z$11,6,FALSE)</f>
        <v xml:space="preserve"> </v>
      </c>
      <c r="AD7" s="62">
        <f>VLOOKUP($K7,waveData!$K$3:$Z$11,7,FALSE)</f>
        <v>2.06E-2</v>
      </c>
      <c r="AE7" s="62">
        <f>VLOOKUP($K7,waveData!$K$3:$Z$11,8,FALSE)</f>
        <v>0</v>
      </c>
      <c r="AF7" s="62" t="str">
        <f>VLOOKUP($K7,waveData!$K$3:$Z$11,9,FALSE)</f>
        <v xml:space="preserve"> </v>
      </c>
      <c r="AG7" s="62" t="str">
        <f>VLOOKUP($K7,waveData!$K$3:$Z$11,10,FALSE)</f>
        <v xml:space="preserve"> </v>
      </c>
      <c r="AH7" s="62">
        <f>VLOOKUP($K7,waveData!$K$3:$Z$11,11,FALSE)</f>
        <v>21.700199999999999</v>
      </c>
      <c r="AI7" s="62">
        <f>VLOOKUP($K7,waveData!$K$3:$Z$11,12,FALSE)</f>
        <v>2.1032000000000002</v>
      </c>
      <c r="AJ7" s="62">
        <f>VLOOKUP($K7,waveData!$K$3:$Z$11,13,FALSE)</f>
        <v>0.52810000000000001</v>
      </c>
      <c r="AK7" s="62">
        <f>VLOOKUP($K7,waveData!$K$3:$Z$11,14,FALSE)</f>
        <v>4.3</v>
      </c>
      <c r="AL7" s="62" t="str">
        <f>VLOOKUP($K7,waveData!$K$3:$Z$11,15,FALSE)</f>
        <v xml:space="preserve"> </v>
      </c>
      <c r="AM7" s="62">
        <f>VLOOKUP($K7,waveData!$K$3:$Z$11,16,FALSE)</f>
        <v>1000</v>
      </c>
    </row>
    <row r="8" spans="1:39" x14ac:dyDescent="0.25">
      <c r="A8" t="s">
        <v>537</v>
      </c>
      <c r="B8" s="62" t="str">
        <f t="shared" si="0"/>
        <v>1219115166</v>
      </c>
      <c r="C8" s="62">
        <v>2017</v>
      </c>
      <c r="D8" s="62">
        <v>12</v>
      </c>
      <c r="E8" s="62">
        <f t="shared" si="1"/>
        <v>19</v>
      </c>
      <c r="F8" s="147">
        <f t="shared" si="2"/>
        <v>11</v>
      </c>
      <c r="G8" s="147">
        <f t="shared" si="3"/>
        <v>11</v>
      </c>
      <c r="H8" s="147">
        <f t="shared" si="4"/>
        <v>51</v>
      </c>
      <c r="I8" s="147">
        <f t="shared" si="5"/>
        <v>66</v>
      </c>
      <c r="J8" s="62" t="str">
        <f t="shared" si="7"/>
        <v>2017-12-19-11:51:66-04</v>
      </c>
      <c r="K8">
        <v>0</v>
      </c>
      <c r="L8">
        <v>550</v>
      </c>
      <c r="M8">
        <v>904</v>
      </c>
      <c r="N8" s="150">
        <v>1.2932920000000001</v>
      </c>
      <c r="O8" s="150">
        <v>1.842641</v>
      </c>
      <c r="P8" s="150">
        <v>0.54599529999999996</v>
      </c>
      <c r="Q8" s="150">
        <v>1.399681</v>
      </c>
      <c r="R8" s="150">
        <v>-4.2102979999999999</v>
      </c>
      <c r="S8" s="150">
        <v>6.3731980000000004</v>
      </c>
      <c r="T8" s="150">
        <v>0.2061432</v>
      </c>
      <c r="U8" s="150">
        <v>0.2061432</v>
      </c>
      <c r="V8" s="150">
        <v>143.9306</v>
      </c>
      <c r="W8" s="62">
        <f>VLOOKUP(L8,Sheet3!$E$1:$H$20,4,FALSE)</f>
        <v>19</v>
      </c>
      <c r="X8" s="62" t="str">
        <f t="shared" si="6"/>
        <v>Numerical Model Validation</v>
      </c>
      <c r="Y8" s="62" t="str">
        <f>VLOOKUP($K8,waveData!$K$3:$Z$11,2,FALSE)</f>
        <v>polychromatic long-crested head-on</v>
      </c>
      <c r="Z8" s="62" t="str">
        <f>VLOOKUP($K8,waveData!$K$3:$Z$11,3,FALSE)</f>
        <v>Custom</v>
      </c>
      <c r="AA8" s="62">
        <f>VLOOKUP($K8,waveData!$K$3:$Z$11,4,FALSE)</f>
        <v>0.14230000000000001</v>
      </c>
      <c r="AB8" s="62">
        <f>VLOOKUP($K8,waveData!$K$3:$Z$11,5,FALSE)</f>
        <v>2.6682999999999999</v>
      </c>
      <c r="AC8" s="62" t="str">
        <f>VLOOKUP($K8,waveData!$K$3:$Z$11,6,FALSE)</f>
        <v xml:space="preserve"> </v>
      </c>
      <c r="AD8" s="62">
        <f>VLOOKUP($K8,waveData!$K$3:$Z$11,7,FALSE)</f>
        <v>2.06E-2</v>
      </c>
      <c r="AE8" s="62">
        <f>VLOOKUP($K8,waveData!$K$3:$Z$11,8,FALSE)</f>
        <v>0</v>
      </c>
      <c r="AF8" s="62" t="str">
        <f>VLOOKUP($K8,waveData!$K$3:$Z$11,9,FALSE)</f>
        <v xml:space="preserve"> </v>
      </c>
      <c r="AG8" s="62" t="str">
        <f>VLOOKUP($K8,waveData!$K$3:$Z$11,10,FALSE)</f>
        <v xml:space="preserve"> </v>
      </c>
      <c r="AH8" s="62">
        <f>VLOOKUP($K8,waveData!$K$3:$Z$11,11,FALSE)</f>
        <v>21.700199999999999</v>
      </c>
      <c r="AI8" s="62">
        <f>VLOOKUP($K8,waveData!$K$3:$Z$11,12,FALSE)</f>
        <v>2.1032000000000002</v>
      </c>
      <c r="AJ8" s="62">
        <f>VLOOKUP($K8,waveData!$K$3:$Z$11,13,FALSE)</f>
        <v>0.52810000000000001</v>
      </c>
      <c r="AK8" s="62">
        <f>VLOOKUP($K8,waveData!$K$3:$Z$11,14,FALSE)</f>
        <v>4.3</v>
      </c>
      <c r="AL8" s="62" t="str">
        <f>VLOOKUP($K8,waveData!$K$3:$Z$11,15,FALSE)</f>
        <v xml:space="preserve"> </v>
      </c>
      <c r="AM8" s="62">
        <f>VLOOKUP($K8,waveData!$K$3:$Z$11,16,FALSE)</f>
        <v>1000</v>
      </c>
    </row>
    <row r="9" spans="1:39" x14ac:dyDescent="0.25">
      <c r="A9" t="s">
        <v>538</v>
      </c>
      <c r="B9" s="62" t="str">
        <f t="shared" si="0"/>
        <v>1219124044</v>
      </c>
      <c r="C9" s="62">
        <v>2017</v>
      </c>
      <c r="D9" s="62">
        <v>12</v>
      </c>
      <c r="E9" s="62">
        <f t="shared" si="1"/>
        <v>19</v>
      </c>
      <c r="F9" s="147">
        <f t="shared" si="2"/>
        <v>12</v>
      </c>
      <c r="G9" s="147">
        <f t="shared" si="3"/>
        <v>12</v>
      </c>
      <c r="H9" s="147">
        <f t="shared" si="4"/>
        <v>40</v>
      </c>
      <c r="I9" s="147">
        <f t="shared" si="5"/>
        <v>44</v>
      </c>
      <c r="J9" s="62" t="str">
        <f t="shared" si="7"/>
        <v>2017-12-19-12:40:44-04</v>
      </c>
      <c r="K9">
        <v>0</v>
      </c>
      <c r="L9">
        <v>700</v>
      </c>
      <c r="M9">
        <v>904</v>
      </c>
      <c r="N9" s="150">
        <v>2.3882210000000001</v>
      </c>
      <c r="O9" s="150">
        <v>3.3944179999999999</v>
      </c>
      <c r="P9" s="150">
        <v>0.60911789999999999</v>
      </c>
      <c r="Q9" s="150">
        <v>1.236167</v>
      </c>
      <c r="R9" s="150">
        <v>-4.2744869999999997</v>
      </c>
      <c r="S9" s="150">
        <v>7.1879150000000003</v>
      </c>
      <c r="T9" s="150">
        <v>0.4339191</v>
      </c>
      <c r="U9" s="150">
        <v>0.4339191</v>
      </c>
      <c r="V9" s="150">
        <v>175.9186</v>
      </c>
      <c r="W9" s="62">
        <f>VLOOKUP(L9,Sheet3!$E$1:$H$20,4,FALSE)</f>
        <v>20</v>
      </c>
      <c r="X9" s="62" t="str">
        <f t="shared" si="6"/>
        <v>Numerical Model Validation</v>
      </c>
      <c r="Y9" s="62" t="str">
        <f>VLOOKUP($K9,waveData!$K$3:$Z$11,2,FALSE)</f>
        <v>polychromatic long-crested head-on</v>
      </c>
      <c r="Z9" s="62" t="str">
        <f>VLOOKUP($K9,waveData!$K$3:$Z$11,3,FALSE)</f>
        <v>Custom</v>
      </c>
      <c r="AA9" s="62">
        <f>VLOOKUP($K9,waveData!$K$3:$Z$11,4,FALSE)</f>
        <v>0.14230000000000001</v>
      </c>
      <c r="AB9" s="62">
        <f>VLOOKUP($K9,waveData!$K$3:$Z$11,5,FALSE)</f>
        <v>2.6682999999999999</v>
      </c>
      <c r="AC9" s="62" t="str">
        <f>VLOOKUP($K9,waveData!$K$3:$Z$11,6,FALSE)</f>
        <v xml:space="preserve"> </v>
      </c>
      <c r="AD9" s="62">
        <f>VLOOKUP($K9,waveData!$K$3:$Z$11,7,FALSE)</f>
        <v>2.06E-2</v>
      </c>
      <c r="AE9" s="62">
        <f>VLOOKUP($K9,waveData!$K$3:$Z$11,8,FALSE)</f>
        <v>0</v>
      </c>
      <c r="AF9" s="62" t="str">
        <f>VLOOKUP($K9,waveData!$K$3:$Z$11,9,FALSE)</f>
        <v xml:space="preserve"> </v>
      </c>
      <c r="AG9" s="62" t="str">
        <f>VLOOKUP($K9,waveData!$K$3:$Z$11,10,FALSE)</f>
        <v xml:space="preserve"> </v>
      </c>
      <c r="AH9" s="62">
        <f>VLOOKUP($K9,waveData!$K$3:$Z$11,11,FALSE)</f>
        <v>21.700199999999999</v>
      </c>
      <c r="AI9" s="62">
        <f>VLOOKUP($K9,waveData!$K$3:$Z$11,12,FALSE)</f>
        <v>2.1032000000000002</v>
      </c>
      <c r="AJ9" s="62">
        <f>VLOOKUP($K9,waveData!$K$3:$Z$11,13,FALSE)</f>
        <v>0.52810000000000001</v>
      </c>
      <c r="AK9" s="62">
        <f>VLOOKUP($K9,waveData!$K$3:$Z$11,14,FALSE)</f>
        <v>4.3</v>
      </c>
      <c r="AL9" s="62" t="str">
        <f>VLOOKUP($K9,waveData!$K$3:$Z$11,15,FALSE)</f>
        <v xml:space="preserve"> </v>
      </c>
      <c r="AM9" s="62">
        <f>VLOOKUP($K9,waveData!$K$3:$Z$11,16,FALSE)</f>
        <v>1000</v>
      </c>
    </row>
    <row r="10" spans="1:39" x14ac:dyDescent="0.25">
      <c r="A10" t="s">
        <v>539</v>
      </c>
      <c r="B10" s="62" t="str">
        <f t="shared" si="0"/>
        <v>1219033532</v>
      </c>
      <c r="C10" s="62">
        <v>2017</v>
      </c>
      <c r="D10" s="62">
        <v>12</v>
      </c>
      <c r="E10" s="62">
        <f t="shared" si="1"/>
        <v>19</v>
      </c>
      <c r="F10" s="147">
        <f t="shared" si="2"/>
        <v>3</v>
      </c>
      <c r="G10" s="147">
        <f t="shared" si="3"/>
        <v>15</v>
      </c>
      <c r="H10" s="147">
        <f t="shared" si="4"/>
        <v>35</v>
      </c>
      <c r="I10" s="147">
        <f t="shared" si="5"/>
        <v>32</v>
      </c>
      <c r="J10" s="62" t="str">
        <f t="shared" si="7"/>
        <v>2017-12-19-15:35:32-04</v>
      </c>
      <c r="K10">
        <v>1</v>
      </c>
      <c r="L10">
        <v>150</v>
      </c>
      <c r="M10">
        <v>964</v>
      </c>
      <c r="N10" s="150">
        <v>1.198534</v>
      </c>
      <c r="O10" s="150">
        <v>1.7768949999999999</v>
      </c>
      <c r="P10" s="150">
        <v>0.16408890000000001</v>
      </c>
      <c r="Q10" s="150">
        <v>1.425551</v>
      </c>
      <c r="R10" s="150">
        <v>-5.0398050000000003</v>
      </c>
      <c r="S10" s="150">
        <v>5.6901760000000001</v>
      </c>
      <c r="T10" s="150">
        <v>4.80335E-2</v>
      </c>
      <c r="U10" s="150">
        <v>4.80335E-2</v>
      </c>
      <c r="V10" s="150">
        <v>51.118459999999999</v>
      </c>
      <c r="W10" s="62">
        <f>VLOOKUP(L10,Sheet3!$E$1:$H$20,4,FALSE)</f>
        <v>4</v>
      </c>
      <c r="X10" s="62" t="str">
        <f t="shared" si="6"/>
        <v>Power Performance</v>
      </c>
      <c r="Y10" s="62" t="str">
        <f>VLOOKUP($K10,waveData!$K$3:$Z$11,2,FALSE)</f>
        <v>polychromatic long-crested head-on</v>
      </c>
      <c r="Z10" s="62" t="str">
        <f>VLOOKUP($K10,waveData!$K$3:$Z$11,3,FALSE)</f>
        <v>Bretschneider Spectrum</v>
      </c>
      <c r="AA10" s="62">
        <f>VLOOKUP($K10,waveData!$K$3:$Z$11,4,FALSE)</f>
        <v>8.0299999999999996E-2</v>
      </c>
      <c r="AB10" s="62">
        <f>VLOOKUP($K10,waveData!$K$3:$Z$11,5,FALSE)</f>
        <v>1.9878</v>
      </c>
      <c r="AC10" s="62" t="str">
        <f>VLOOKUP($K10,waveData!$K$3:$Z$11,6,FALSE)</f>
        <v xml:space="preserve"> </v>
      </c>
      <c r="AD10" s="62">
        <f>VLOOKUP($K10,waveData!$K$3:$Z$11,7,FALSE)</f>
        <v>1.9400000000000001E-2</v>
      </c>
      <c r="AE10" s="62">
        <f>VLOOKUP($K10,waveData!$K$3:$Z$11,8,FALSE)</f>
        <v>0</v>
      </c>
      <c r="AF10" s="62" t="str">
        <f>VLOOKUP($K10,waveData!$K$3:$Z$11,9,FALSE)</f>
        <v xml:space="preserve"> </v>
      </c>
      <c r="AG10" s="62" t="str">
        <f>VLOOKUP($K10,waveData!$K$3:$Z$11,10,FALSE)</f>
        <v xml:space="preserve"> </v>
      </c>
      <c r="AH10" s="62">
        <f>VLOOKUP($K10,waveData!$K$3:$Z$11,11,FALSE)</f>
        <v>4.9999000000000002</v>
      </c>
      <c r="AI10" s="62">
        <f>VLOOKUP($K10,waveData!$K$3:$Z$11,12,FALSE)</f>
        <v>1.6289</v>
      </c>
      <c r="AJ10" s="62">
        <f>VLOOKUP($K10,waveData!$K$3:$Z$11,13,FALSE)</f>
        <v>0.78220000000000001</v>
      </c>
      <c r="AK10" s="62">
        <f>VLOOKUP($K10,waveData!$K$3:$Z$11,14,FALSE)</f>
        <v>4.3</v>
      </c>
      <c r="AL10" s="62" t="str">
        <f>VLOOKUP($K10,waveData!$K$3:$Z$11,15,FALSE)</f>
        <v xml:space="preserve"> </v>
      </c>
      <c r="AM10" s="62">
        <f>VLOOKUP($K10,waveData!$K$3:$Z$11,16,FALSE)</f>
        <v>1000</v>
      </c>
    </row>
    <row r="11" spans="1:39" x14ac:dyDescent="0.25">
      <c r="A11" t="s">
        <v>540</v>
      </c>
      <c r="B11" s="62" t="str">
        <f t="shared" si="0"/>
        <v>1219031467</v>
      </c>
      <c r="C11" s="62">
        <v>2017</v>
      </c>
      <c r="D11" s="62">
        <v>12</v>
      </c>
      <c r="E11" s="62">
        <f t="shared" si="1"/>
        <v>19</v>
      </c>
      <c r="F11" s="147">
        <f t="shared" si="2"/>
        <v>3</v>
      </c>
      <c r="G11" s="147">
        <f t="shared" si="3"/>
        <v>15</v>
      </c>
      <c r="H11" s="147">
        <f t="shared" si="4"/>
        <v>14</v>
      </c>
      <c r="I11" s="147">
        <f t="shared" si="5"/>
        <v>67</v>
      </c>
      <c r="J11" s="62" t="str">
        <f t="shared" si="7"/>
        <v>2017-12-19-15:14:67-04</v>
      </c>
      <c r="K11">
        <v>1</v>
      </c>
      <c r="L11">
        <v>270</v>
      </c>
      <c r="M11">
        <v>964</v>
      </c>
      <c r="N11" s="150">
        <v>1.1400049999999999</v>
      </c>
      <c r="O11" s="150">
        <v>1.69295</v>
      </c>
      <c r="P11" s="150">
        <v>0.14487</v>
      </c>
      <c r="Q11" s="150">
        <v>1.103413</v>
      </c>
      <c r="R11" s="150">
        <v>-4.1019350000000001</v>
      </c>
      <c r="S11" s="150">
        <v>4.3697439999999999</v>
      </c>
      <c r="T11" s="150">
        <v>0.119588</v>
      </c>
      <c r="U11" s="150">
        <v>0.119588</v>
      </c>
      <c r="V11" s="150">
        <v>65.065700000000007</v>
      </c>
      <c r="W11" s="62">
        <f>VLOOKUP(L11,Sheet3!$E$1:$H$20,4,FALSE)</f>
        <v>8</v>
      </c>
      <c r="X11" s="62" t="str">
        <f t="shared" si="6"/>
        <v>Power Performance</v>
      </c>
      <c r="Y11" s="62" t="str">
        <f>VLOOKUP($K11,waveData!$K$3:$Z$11,2,FALSE)</f>
        <v>polychromatic long-crested head-on</v>
      </c>
      <c r="Z11" s="62" t="str">
        <f>VLOOKUP($K11,waveData!$K$3:$Z$11,3,FALSE)</f>
        <v>Bretschneider Spectrum</v>
      </c>
      <c r="AA11" s="62">
        <f>VLOOKUP($K11,waveData!$K$3:$Z$11,4,FALSE)</f>
        <v>8.0299999999999996E-2</v>
      </c>
      <c r="AB11" s="62">
        <f>VLOOKUP($K11,waveData!$K$3:$Z$11,5,FALSE)</f>
        <v>1.9878</v>
      </c>
      <c r="AC11" s="62" t="str">
        <f>VLOOKUP($K11,waveData!$K$3:$Z$11,6,FALSE)</f>
        <v xml:space="preserve"> </v>
      </c>
      <c r="AD11" s="62">
        <f>VLOOKUP($K11,waveData!$K$3:$Z$11,7,FALSE)</f>
        <v>1.9400000000000001E-2</v>
      </c>
      <c r="AE11" s="62">
        <f>VLOOKUP($K11,waveData!$K$3:$Z$11,8,FALSE)</f>
        <v>0</v>
      </c>
      <c r="AF11" s="62" t="str">
        <f>VLOOKUP($K11,waveData!$K$3:$Z$11,9,FALSE)</f>
        <v xml:space="preserve"> </v>
      </c>
      <c r="AG11" s="62" t="str">
        <f>VLOOKUP($K11,waveData!$K$3:$Z$11,10,FALSE)</f>
        <v xml:space="preserve"> </v>
      </c>
      <c r="AH11" s="62">
        <f>VLOOKUP($K11,waveData!$K$3:$Z$11,11,FALSE)</f>
        <v>4.9999000000000002</v>
      </c>
      <c r="AI11" s="62">
        <f>VLOOKUP($K11,waveData!$K$3:$Z$11,12,FALSE)</f>
        <v>1.6289</v>
      </c>
      <c r="AJ11" s="62">
        <f>VLOOKUP($K11,waveData!$K$3:$Z$11,13,FALSE)</f>
        <v>0.78220000000000001</v>
      </c>
      <c r="AK11" s="62">
        <f>VLOOKUP($K11,waveData!$K$3:$Z$11,14,FALSE)</f>
        <v>4.3</v>
      </c>
      <c r="AL11" s="62" t="str">
        <f>VLOOKUP($K11,waveData!$K$3:$Z$11,15,FALSE)</f>
        <v xml:space="preserve"> </v>
      </c>
      <c r="AM11" s="62">
        <f>VLOOKUP($K11,waveData!$K$3:$Z$11,16,FALSE)</f>
        <v>1000</v>
      </c>
    </row>
    <row r="12" spans="1:39" x14ac:dyDescent="0.25">
      <c r="A12" t="s">
        <v>541</v>
      </c>
      <c r="B12" s="62" t="str">
        <f t="shared" si="0"/>
        <v>1219023105</v>
      </c>
      <c r="C12" s="62">
        <v>2017</v>
      </c>
      <c r="D12" s="62">
        <v>12</v>
      </c>
      <c r="E12" s="62">
        <f t="shared" si="1"/>
        <v>19</v>
      </c>
      <c r="F12" s="147">
        <f t="shared" si="2"/>
        <v>2</v>
      </c>
      <c r="G12" s="147">
        <f t="shared" si="3"/>
        <v>14</v>
      </c>
      <c r="H12" s="147">
        <f t="shared" si="4"/>
        <v>31</v>
      </c>
      <c r="I12" s="147">
        <f t="shared" si="5"/>
        <v>5</v>
      </c>
      <c r="J12" s="62" t="str">
        <f t="shared" si="7"/>
        <v>2017-12-19-14:31:05-04</v>
      </c>
      <c r="K12">
        <v>1</v>
      </c>
      <c r="L12">
        <v>330</v>
      </c>
      <c r="M12">
        <v>964</v>
      </c>
      <c r="N12" s="150">
        <v>1.09934</v>
      </c>
      <c r="O12" s="150">
        <v>1.657789</v>
      </c>
      <c r="P12" s="150">
        <v>0.27390530000000002</v>
      </c>
      <c r="Q12" s="150">
        <v>1.0236829999999999</v>
      </c>
      <c r="R12" s="150">
        <v>-4.385008</v>
      </c>
      <c r="S12" s="150">
        <v>4.2209490000000001</v>
      </c>
      <c r="T12" s="150">
        <v>-9.1770110000000002E-2</v>
      </c>
      <c r="U12" s="150">
        <v>-9.1770110000000002E-2</v>
      </c>
      <c r="V12" s="150">
        <v>88.694770000000005</v>
      </c>
      <c r="W12" s="62">
        <f>VLOOKUP(L12,Sheet3!$E$1:$H$20,4,FALSE)</f>
        <v>11</v>
      </c>
      <c r="X12" s="62" t="str">
        <f t="shared" si="6"/>
        <v>Power Performance</v>
      </c>
      <c r="Y12" s="62" t="str">
        <f>VLOOKUP($K12,waveData!$K$3:$Z$11,2,FALSE)</f>
        <v>polychromatic long-crested head-on</v>
      </c>
      <c r="Z12" s="62" t="str">
        <f>VLOOKUP($K12,waveData!$K$3:$Z$11,3,FALSE)</f>
        <v>Bretschneider Spectrum</v>
      </c>
      <c r="AA12" s="62">
        <f>VLOOKUP($K12,waveData!$K$3:$Z$11,4,FALSE)</f>
        <v>8.0299999999999996E-2</v>
      </c>
      <c r="AB12" s="62">
        <f>VLOOKUP($K12,waveData!$K$3:$Z$11,5,FALSE)</f>
        <v>1.9878</v>
      </c>
      <c r="AC12" s="62" t="str">
        <f>VLOOKUP($K12,waveData!$K$3:$Z$11,6,FALSE)</f>
        <v xml:space="preserve"> </v>
      </c>
      <c r="AD12" s="62">
        <f>VLOOKUP($K12,waveData!$K$3:$Z$11,7,FALSE)</f>
        <v>1.9400000000000001E-2</v>
      </c>
      <c r="AE12" s="62">
        <f>VLOOKUP($K12,waveData!$K$3:$Z$11,8,FALSE)</f>
        <v>0</v>
      </c>
      <c r="AF12" s="62" t="str">
        <f>VLOOKUP($K12,waveData!$K$3:$Z$11,9,FALSE)</f>
        <v xml:space="preserve"> </v>
      </c>
      <c r="AG12" s="62" t="str">
        <f>VLOOKUP($K12,waveData!$K$3:$Z$11,10,FALSE)</f>
        <v xml:space="preserve"> </v>
      </c>
      <c r="AH12" s="62">
        <f>VLOOKUP($K12,waveData!$K$3:$Z$11,11,FALSE)</f>
        <v>4.9999000000000002</v>
      </c>
      <c r="AI12" s="62">
        <f>VLOOKUP($K12,waveData!$K$3:$Z$11,12,FALSE)</f>
        <v>1.6289</v>
      </c>
      <c r="AJ12" s="62">
        <f>VLOOKUP($K12,waveData!$K$3:$Z$11,13,FALSE)</f>
        <v>0.78220000000000001</v>
      </c>
      <c r="AK12" s="62">
        <f>VLOOKUP($K12,waveData!$K$3:$Z$11,14,FALSE)</f>
        <v>4.3</v>
      </c>
      <c r="AL12" s="62" t="str">
        <f>VLOOKUP($K12,waveData!$K$3:$Z$11,15,FALSE)</f>
        <v xml:space="preserve"> </v>
      </c>
      <c r="AM12" s="62">
        <f>VLOOKUP($K12,waveData!$K$3:$Z$11,16,FALSE)</f>
        <v>1000</v>
      </c>
    </row>
    <row r="13" spans="1:39" x14ac:dyDescent="0.25">
      <c r="A13" t="s">
        <v>542</v>
      </c>
      <c r="B13" s="62" t="str">
        <f t="shared" si="0"/>
        <v>1219015297</v>
      </c>
      <c r="C13" s="62">
        <v>2017</v>
      </c>
      <c r="D13" s="62">
        <v>12</v>
      </c>
      <c r="E13" s="62">
        <f t="shared" si="1"/>
        <v>19</v>
      </c>
      <c r="F13" s="147">
        <f t="shared" si="2"/>
        <v>1</v>
      </c>
      <c r="G13" s="147">
        <f t="shared" si="3"/>
        <v>13</v>
      </c>
      <c r="H13" s="147">
        <f t="shared" si="4"/>
        <v>52</v>
      </c>
      <c r="I13" s="147">
        <f t="shared" si="5"/>
        <v>97</v>
      </c>
      <c r="J13" s="62" t="str">
        <f t="shared" si="7"/>
        <v>2017-12-19-13:52:97-04</v>
      </c>
      <c r="K13">
        <v>1</v>
      </c>
      <c r="L13">
        <v>380</v>
      </c>
      <c r="M13">
        <v>964</v>
      </c>
      <c r="N13" s="150">
        <v>1.064867</v>
      </c>
      <c r="O13" s="150">
        <v>1.599586</v>
      </c>
      <c r="P13" s="150">
        <v>0.53957160000000004</v>
      </c>
      <c r="Q13" s="150">
        <v>0.9630957</v>
      </c>
      <c r="R13" s="150">
        <v>-3.9215100000000001</v>
      </c>
      <c r="S13" s="150">
        <v>4.1473370000000003</v>
      </c>
      <c r="T13" s="150">
        <v>-0.13338369999999999</v>
      </c>
      <c r="U13" s="150">
        <v>-0.13338369999999999</v>
      </c>
      <c r="V13" s="150">
        <v>94.121589999999998</v>
      </c>
      <c r="W13" s="62">
        <f>VLOOKUP(L13,Sheet3!$E$1:$H$20,4,FALSE)</f>
        <v>14</v>
      </c>
      <c r="X13" s="62" t="str">
        <f t="shared" si="6"/>
        <v>Power Performance</v>
      </c>
      <c r="Y13" s="62" t="str">
        <f>VLOOKUP($K13,waveData!$K$3:$Z$11,2,FALSE)</f>
        <v>polychromatic long-crested head-on</v>
      </c>
      <c r="Z13" s="62" t="str">
        <f>VLOOKUP($K13,waveData!$K$3:$Z$11,3,FALSE)</f>
        <v>Bretschneider Spectrum</v>
      </c>
      <c r="AA13" s="62">
        <f>VLOOKUP($K13,waveData!$K$3:$Z$11,4,FALSE)</f>
        <v>8.0299999999999996E-2</v>
      </c>
      <c r="AB13" s="62">
        <f>VLOOKUP($K13,waveData!$K$3:$Z$11,5,FALSE)</f>
        <v>1.9878</v>
      </c>
      <c r="AC13" s="62" t="str">
        <f>VLOOKUP($K13,waveData!$K$3:$Z$11,6,FALSE)</f>
        <v xml:space="preserve"> </v>
      </c>
      <c r="AD13" s="62">
        <f>VLOOKUP($K13,waveData!$K$3:$Z$11,7,FALSE)</f>
        <v>1.9400000000000001E-2</v>
      </c>
      <c r="AE13" s="62">
        <f>VLOOKUP($K13,waveData!$K$3:$Z$11,8,FALSE)</f>
        <v>0</v>
      </c>
      <c r="AF13" s="62" t="str">
        <f>VLOOKUP($K13,waveData!$K$3:$Z$11,9,FALSE)</f>
        <v xml:space="preserve"> </v>
      </c>
      <c r="AG13" s="62" t="str">
        <f>VLOOKUP($K13,waveData!$K$3:$Z$11,10,FALSE)</f>
        <v xml:space="preserve"> </v>
      </c>
      <c r="AH13" s="62">
        <f>VLOOKUP($K13,waveData!$K$3:$Z$11,11,FALSE)</f>
        <v>4.9999000000000002</v>
      </c>
      <c r="AI13" s="62">
        <f>VLOOKUP($K13,waveData!$K$3:$Z$11,12,FALSE)</f>
        <v>1.6289</v>
      </c>
      <c r="AJ13" s="62">
        <f>VLOOKUP($K13,waveData!$K$3:$Z$11,13,FALSE)</f>
        <v>0.78220000000000001</v>
      </c>
      <c r="AK13" s="62">
        <f>VLOOKUP($K13,waveData!$K$3:$Z$11,14,FALSE)</f>
        <v>4.3</v>
      </c>
      <c r="AL13" s="62" t="str">
        <f>VLOOKUP($K13,waveData!$K$3:$Z$11,15,FALSE)</f>
        <v xml:space="preserve"> </v>
      </c>
      <c r="AM13" s="62">
        <f>VLOOKUP($K13,waveData!$K$3:$Z$11,16,FALSE)</f>
        <v>1000</v>
      </c>
    </row>
    <row r="14" spans="1:39" x14ac:dyDescent="0.25">
      <c r="A14" t="s">
        <v>543</v>
      </c>
      <c r="B14" s="62" t="str">
        <f t="shared" si="0"/>
        <v>1219021225</v>
      </c>
      <c r="C14" s="62">
        <v>2017</v>
      </c>
      <c r="D14" s="62">
        <v>12</v>
      </c>
      <c r="E14" s="62">
        <f t="shared" si="1"/>
        <v>19</v>
      </c>
      <c r="F14" s="147">
        <f t="shared" si="2"/>
        <v>2</v>
      </c>
      <c r="G14" s="147">
        <f t="shared" si="3"/>
        <v>14</v>
      </c>
      <c r="H14" s="147">
        <f t="shared" si="4"/>
        <v>12</v>
      </c>
      <c r="I14" s="147">
        <f t="shared" si="5"/>
        <v>25</v>
      </c>
      <c r="J14" s="62" t="str">
        <f t="shared" si="7"/>
        <v>2017-12-19-14:12:25-04</v>
      </c>
      <c r="K14">
        <v>1</v>
      </c>
      <c r="L14">
        <v>430</v>
      </c>
      <c r="M14">
        <v>964</v>
      </c>
      <c r="N14" s="150">
        <v>1.0239469999999999</v>
      </c>
      <c r="O14" s="150">
        <v>1.5283979999999999</v>
      </c>
      <c r="P14" s="150">
        <v>0.38790219999999997</v>
      </c>
      <c r="Q14" s="150">
        <v>0.88878369999999995</v>
      </c>
      <c r="R14" s="150">
        <v>-3.5924010000000002</v>
      </c>
      <c r="S14" s="150">
        <v>3.853888</v>
      </c>
      <c r="T14" s="150">
        <v>-6.5777680000000005E-2</v>
      </c>
      <c r="U14" s="150">
        <v>-6.5777680000000005E-2</v>
      </c>
      <c r="V14" s="150">
        <v>95.478589999999997</v>
      </c>
      <c r="W14" s="62">
        <f>VLOOKUP(L14,Sheet3!$E$1:$H$20,4,FALSE)</f>
        <v>16</v>
      </c>
      <c r="X14" s="62" t="str">
        <f t="shared" si="6"/>
        <v>Power Performance</v>
      </c>
      <c r="Y14" s="62" t="str">
        <f>VLOOKUP($K14,waveData!$K$3:$Z$11,2,FALSE)</f>
        <v>polychromatic long-crested head-on</v>
      </c>
      <c r="Z14" s="62" t="str">
        <f>VLOOKUP($K14,waveData!$K$3:$Z$11,3,FALSE)</f>
        <v>Bretschneider Spectrum</v>
      </c>
      <c r="AA14" s="62">
        <f>VLOOKUP($K14,waveData!$K$3:$Z$11,4,FALSE)</f>
        <v>8.0299999999999996E-2</v>
      </c>
      <c r="AB14" s="62">
        <f>VLOOKUP($K14,waveData!$K$3:$Z$11,5,FALSE)</f>
        <v>1.9878</v>
      </c>
      <c r="AC14" s="62" t="str">
        <f>VLOOKUP($K14,waveData!$K$3:$Z$11,6,FALSE)</f>
        <v xml:space="preserve"> </v>
      </c>
      <c r="AD14" s="62">
        <f>VLOOKUP($K14,waveData!$K$3:$Z$11,7,FALSE)</f>
        <v>1.9400000000000001E-2</v>
      </c>
      <c r="AE14" s="62">
        <f>VLOOKUP($K14,waveData!$K$3:$Z$11,8,FALSE)</f>
        <v>0</v>
      </c>
      <c r="AF14" s="62" t="str">
        <f>VLOOKUP($K14,waveData!$K$3:$Z$11,9,FALSE)</f>
        <v xml:space="preserve"> </v>
      </c>
      <c r="AG14" s="62" t="str">
        <f>VLOOKUP($K14,waveData!$K$3:$Z$11,10,FALSE)</f>
        <v xml:space="preserve"> </v>
      </c>
      <c r="AH14" s="62">
        <f>VLOOKUP($K14,waveData!$K$3:$Z$11,11,FALSE)</f>
        <v>4.9999000000000002</v>
      </c>
      <c r="AI14" s="62">
        <f>VLOOKUP($K14,waveData!$K$3:$Z$11,12,FALSE)</f>
        <v>1.6289</v>
      </c>
      <c r="AJ14" s="62">
        <f>VLOOKUP($K14,waveData!$K$3:$Z$11,13,FALSE)</f>
        <v>0.78220000000000001</v>
      </c>
      <c r="AK14" s="62">
        <f>VLOOKUP($K14,waveData!$K$3:$Z$11,14,FALSE)</f>
        <v>4.3</v>
      </c>
      <c r="AL14" s="62" t="str">
        <f>VLOOKUP($K14,waveData!$K$3:$Z$11,15,FALSE)</f>
        <v xml:space="preserve"> </v>
      </c>
      <c r="AM14" s="62">
        <f>VLOOKUP($K14,waveData!$K$3:$Z$11,16,FALSE)</f>
        <v>1000</v>
      </c>
    </row>
    <row r="15" spans="1:39" x14ac:dyDescent="0.25">
      <c r="A15" t="s">
        <v>544</v>
      </c>
      <c r="B15" s="62" t="str">
        <f t="shared" si="0"/>
        <v>1219021270</v>
      </c>
      <c r="C15" s="62">
        <v>2017</v>
      </c>
      <c r="D15" s="62">
        <v>12</v>
      </c>
      <c r="E15" s="62">
        <f t="shared" si="1"/>
        <v>19</v>
      </c>
      <c r="F15" s="147">
        <f t="shared" si="2"/>
        <v>2</v>
      </c>
      <c r="G15" s="147">
        <f t="shared" si="3"/>
        <v>14</v>
      </c>
      <c r="H15" s="147">
        <f t="shared" si="4"/>
        <v>12</v>
      </c>
      <c r="I15" s="147">
        <f t="shared" si="5"/>
        <v>70</v>
      </c>
      <c r="J15" s="62" t="str">
        <f t="shared" si="7"/>
        <v>2017-12-19-14:12:70-04</v>
      </c>
      <c r="K15">
        <v>1</v>
      </c>
      <c r="L15">
        <v>430</v>
      </c>
      <c r="M15">
        <v>964</v>
      </c>
      <c r="N15" s="150">
        <v>1.0239469999999999</v>
      </c>
      <c r="O15" s="150">
        <v>1.5283979999999999</v>
      </c>
      <c r="P15" s="150">
        <v>0.38790219999999997</v>
      </c>
      <c r="Q15" s="150">
        <v>0.88878369999999995</v>
      </c>
      <c r="R15" s="150">
        <v>-3.5924010000000002</v>
      </c>
      <c r="S15" s="150">
        <v>3.853888</v>
      </c>
      <c r="T15" s="150">
        <v>-6.5777680000000005E-2</v>
      </c>
      <c r="U15" s="150">
        <v>-6.5777680000000005E-2</v>
      </c>
      <c r="V15" s="150">
        <v>95.478589999999997</v>
      </c>
      <c r="W15" s="62">
        <f>VLOOKUP(L15,Sheet3!$E$1:$H$20,4,FALSE)</f>
        <v>16</v>
      </c>
      <c r="X15" s="62" t="str">
        <f t="shared" si="6"/>
        <v>Power Performance</v>
      </c>
      <c r="Y15" s="62" t="str">
        <f>VLOOKUP($K15,waveData!$K$3:$Z$11,2,FALSE)</f>
        <v>polychromatic long-crested head-on</v>
      </c>
      <c r="Z15" s="62" t="str">
        <f>VLOOKUP($K15,waveData!$K$3:$Z$11,3,FALSE)</f>
        <v>Bretschneider Spectrum</v>
      </c>
      <c r="AA15" s="62">
        <f>VLOOKUP($K15,waveData!$K$3:$Z$11,4,FALSE)</f>
        <v>8.0299999999999996E-2</v>
      </c>
      <c r="AB15" s="62">
        <f>VLOOKUP($K15,waveData!$K$3:$Z$11,5,FALSE)</f>
        <v>1.9878</v>
      </c>
      <c r="AC15" s="62" t="str">
        <f>VLOOKUP($K15,waveData!$K$3:$Z$11,6,FALSE)</f>
        <v xml:space="preserve"> </v>
      </c>
      <c r="AD15" s="62">
        <f>VLOOKUP($K15,waveData!$K$3:$Z$11,7,FALSE)</f>
        <v>1.9400000000000001E-2</v>
      </c>
      <c r="AE15" s="62">
        <f>VLOOKUP($K15,waveData!$K$3:$Z$11,8,FALSE)</f>
        <v>0</v>
      </c>
      <c r="AF15" s="62" t="str">
        <f>VLOOKUP($K15,waveData!$K$3:$Z$11,9,FALSE)</f>
        <v xml:space="preserve"> </v>
      </c>
      <c r="AG15" s="62" t="str">
        <f>VLOOKUP($K15,waveData!$K$3:$Z$11,10,FALSE)</f>
        <v xml:space="preserve"> </v>
      </c>
      <c r="AH15" s="62">
        <f>VLOOKUP($K15,waveData!$K$3:$Z$11,11,FALSE)</f>
        <v>4.9999000000000002</v>
      </c>
      <c r="AI15" s="62">
        <f>VLOOKUP($K15,waveData!$K$3:$Z$11,12,FALSE)</f>
        <v>1.6289</v>
      </c>
      <c r="AJ15" s="62">
        <f>VLOOKUP($K15,waveData!$K$3:$Z$11,13,FALSE)</f>
        <v>0.78220000000000001</v>
      </c>
      <c r="AK15" s="62">
        <f>VLOOKUP($K15,waveData!$K$3:$Z$11,14,FALSE)</f>
        <v>4.3</v>
      </c>
      <c r="AL15" s="62" t="str">
        <f>VLOOKUP($K15,waveData!$K$3:$Z$11,15,FALSE)</f>
        <v xml:space="preserve"> </v>
      </c>
      <c r="AM15" s="62">
        <f>VLOOKUP($K15,waveData!$K$3:$Z$11,16,FALSE)</f>
        <v>1000</v>
      </c>
    </row>
    <row r="16" spans="1:39" x14ac:dyDescent="0.25">
      <c r="A16" t="s">
        <v>545</v>
      </c>
      <c r="B16" s="62" t="str">
        <f t="shared" si="0"/>
        <v>1219051362</v>
      </c>
      <c r="C16" s="62">
        <v>2017</v>
      </c>
      <c r="D16" s="62">
        <v>12</v>
      </c>
      <c r="E16" s="62">
        <f t="shared" si="1"/>
        <v>19</v>
      </c>
      <c r="F16" s="147">
        <f t="shared" si="2"/>
        <v>5</v>
      </c>
      <c r="G16" s="147">
        <f t="shared" si="3"/>
        <v>17</v>
      </c>
      <c r="H16" s="147">
        <f t="shared" si="4"/>
        <v>13</v>
      </c>
      <c r="I16" s="147">
        <f t="shared" si="5"/>
        <v>62</v>
      </c>
      <c r="J16" s="62" t="str">
        <f t="shared" si="7"/>
        <v>2017-12-19-17:13:62-04</v>
      </c>
      <c r="K16">
        <v>2</v>
      </c>
      <c r="L16">
        <v>40</v>
      </c>
      <c r="M16">
        <v>964</v>
      </c>
      <c r="N16" s="150">
        <v>2.0926399999999998</v>
      </c>
      <c r="O16" s="150">
        <v>3.020616</v>
      </c>
      <c r="P16" s="150">
        <v>8.5229949999999999E-2</v>
      </c>
      <c r="Q16" s="150">
        <v>2.9329839999999998</v>
      </c>
      <c r="R16" s="150">
        <v>-11.94609</v>
      </c>
      <c r="S16" s="150">
        <v>12.06514</v>
      </c>
      <c r="T16" s="150">
        <v>9.0900259999999997E-2</v>
      </c>
      <c r="U16" s="150">
        <v>9.0900259999999997E-2</v>
      </c>
      <c r="V16" s="150">
        <v>36.190539999999999</v>
      </c>
      <c r="W16" s="62">
        <f>VLOOKUP(L16,Sheet3!$E$1:$H$20,4,FALSE)</f>
        <v>2</v>
      </c>
      <c r="X16" s="62" t="str">
        <f t="shared" si="6"/>
        <v>Power Performance</v>
      </c>
      <c r="Y16" s="62" t="str">
        <f>VLOOKUP($K16,waveData!$K$3:$Z$11,2,FALSE)</f>
        <v>polychromatic long-crested head-on</v>
      </c>
      <c r="Z16" s="62" t="str">
        <f>VLOOKUP($K16,waveData!$K$3:$Z$11,3,FALSE)</f>
        <v>Bretschneider Spectrum</v>
      </c>
      <c r="AA16" s="62">
        <f>VLOOKUP($K16,waveData!$K$3:$Z$11,4,FALSE)</f>
        <v>0.1075</v>
      </c>
      <c r="AB16" s="62">
        <f>VLOOKUP($K16,waveData!$K$3:$Z$11,5,FALSE)</f>
        <v>1.5529999999999999</v>
      </c>
      <c r="AC16" s="62" t="str">
        <f>VLOOKUP($K16,waveData!$K$3:$Z$11,6,FALSE)</f>
        <v xml:space="preserve"> </v>
      </c>
      <c r="AD16" s="62">
        <f>VLOOKUP($K16,waveData!$K$3:$Z$11,7,FALSE)</f>
        <v>3.39E-2</v>
      </c>
      <c r="AE16" s="62">
        <f>VLOOKUP($K16,waveData!$K$3:$Z$11,8,FALSE)</f>
        <v>0</v>
      </c>
      <c r="AF16" s="62" t="str">
        <f>VLOOKUP($K16,waveData!$K$3:$Z$11,9,FALSE)</f>
        <v xml:space="preserve"> </v>
      </c>
      <c r="AG16" s="62" t="str">
        <f>VLOOKUP($K16,waveData!$K$3:$Z$11,10,FALSE)</f>
        <v xml:space="preserve"> </v>
      </c>
      <c r="AH16" s="62">
        <f>VLOOKUP($K16,waveData!$K$3:$Z$11,11,FALSE)</f>
        <v>7.8532000000000002</v>
      </c>
      <c r="AI16" s="62">
        <f>VLOOKUP($K16,waveData!$K$3:$Z$11,12,FALSE)</f>
        <v>1.4241999999999999</v>
      </c>
      <c r="AJ16" s="62">
        <f>VLOOKUP($K16,waveData!$K$3:$Z$11,13,FALSE)</f>
        <v>0.53090000000000004</v>
      </c>
      <c r="AK16" s="62">
        <f>VLOOKUP($K16,waveData!$K$3:$Z$11,14,FALSE)</f>
        <v>4.3</v>
      </c>
      <c r="AL16" s="62" t="str">
        <f>VLOOKUP($K16,waveData!$K$3:$Z$11,15,FALSE)</f>
        <v xml:space="preserve"> </v>
      </c>
      <c r="AM16" s="62">
        <f>VLOOKUP($K16,waveData!$K$3:$Z$11,16,FALSE)</f>
        <v>1000</v>
      </c>
    </row>
    <row r="17" spans="1:39" x14ac:dyDescent="0.25">
      <c r="A17" t="s">
        <v>546</v>
      </c>
      <c r="B17" s="62" t="str">
        <f t="shared" si="0"/>
        <v>1219045387</v>
      </c>
      <c r="C17" s="62">
        <v>2017</v>
      </c>
      <c r="D17" s="62">
        <v>12</v>
      </c>
      <c r="E17" s="62">
        <f t="shared" si="1"/>
        <v>19</v>
      </c>
      <c r="F17" s="147">
        <f t="shared" si="2"/>
        <v>4</v>
      </c>
      <c r="G17" s="147">
        <f t="shared" si="3"/>
        <v>16</v>
      </c>
      <c r="H17" s="147">
        <f t="shared" si="4"/>
        <v>53</v>
      </c>
      <c r="I17" s="147">
        <f t="shared" si="5"/>
        <v>87</v>
      </c>
      <c r="J17" s="62" t="str">
        <f t="shared" si="7"/>
        <v>2017-12-19-16:53:87-04</v>
      </c>
      <c r="K17">
        <v>2</v>
      </c>
      <c r="L17">
        <v>100</v>
      </c>
      <c r="M17">
        <v>964</v>
      </c>
      <c r="N17" s="150">
        <v>2.3126500000000001</v>
      </c>
      <c r="O17" s="150">
        <v>3.3628809999999998</v>
      </c>
      <c r="P17" s="150">
        <v>0.230296</v>
      </c>
      <c r="Q17" s="150">
        <v>2.088355</v>
      </c>
      <c r="R17" s="150">
        <v>-7.4776350000000003</v>
      </c>
      <c r="S17" s="150">
        <v>9.11172</v>
      </c>
      <c r="T17" s="150">
        <v>0.20934539999999999</v>
      </c>
      <c r="U17" s="150">
        <v>0.20934539999999999</v>
      </c>
      <c r="V17" s="150">
        <v>58.759929999999997</v>
      </c>
      <c r="W17" s="62">
        <f>VLOOKUP(L17,Sheet3!$E$1:$H$20,4,FALSE)</f>
        <v>3</v>
      </c>
      <c r="X17" s="62" t="str">
        <f t="shared" si="6"/>
        <v>Power Performance</v>
      </c>
      <c r="Y17" s="62" t="str">
        <f>VLOOKUP($K17,waveData!$K$3:$Z$11,2,FALSE)</f>
        <v>polychromatic long-crested head-on</v>
      </c>
      <c r="Z17" s="62" t="str">
        <f>VLOOKUP($K17,waveData!$K$3:$Z$11,3,FALSE)</f>
        <v>Bretschneider Spectrum</v>
      </c>
      <c r="AA17" s="62">
        <f>VLOOKUP($K17,waveData!$K$3:$Z$11,4,FALSE)</f>
        <v>0.1075</v>
      </c>
      <c r="AB17" s="62">
        <f>VLOOKUP($K17,waveData!$K$3:$Z$11,5,FALSE)</f>
        <v>1.5529999999999999</v>
      </c>
      <c r="AC17" s="62" t="str">
        <f>VLOOKUP($K17,waveData!$K$3:$Z$11,6,FALSE)</f>
        <v xml:space="preserve"> </v>
      </c>
      <c r="AD17" s="62">
        <f>VLOOKUP($K17,waveData!$K$3:$Z$11,7,FALSE)</f>
        <v>3.39E-2</v>
      </c>
      <c r="AE17" s="62">
        <f>VLOOKUP($K17,waveData!$K$3:$Z$11,8,FALSE)</f>
        <v>0</v>
      </c>
      <c r="AF17" s="62" t="str">
        <f>VLOOKUP($K17,waveData!$K$3:$Z$11,9,FALSE)</f>
        <v xml:space="preserve"> </v>
      </c>
      <c r="AG17" s="62" t="str">
        <f>VLOOKUP($K17,waveData!$K$3:$Z$11,10,FALSE)</f>
        <v xml:space="preserve"> </v>
      </c>
      <c r="AH17" s="62">
        <f>VLOOKUP($K17,waveData!$K$3:$Z$11,11,FALSE)</f>
        <v>7.8532000000000002</v>
      </c>
      <c r="AI17" s="62">
        <f>VLOOKUP($K17,waveData!$K$3:$Z$11,12,FALSE)</f>
        <v>1.4241999999999999</v>
      </c>
      <c r="AJ17" s="62">
        <f>VLOOKUP($K17,waveData!$K$3:$Z$11,13,FALSE)</f>
        <v>0.53090000000000004</v>
      </c>
      <c r="AK17" s="62">
        <f>VLOOKUP($K17,waveData!$K$3:$Z$11,14,FALSE)</f>
        <v>4.3</v>
      </c>
      <c r="AL17" s="62" t="str">
        <f>VLOOKUP($K17,waveData!$K$3:$Z$11,15,FALSE)</f>
        <v xml:space="preserve"> </v>
      </c>
      <c r="AM17" s="62">
        <f>VLOOKUP($K17,waveData!$K$3:$Z$11,16,FALSE)</f>
        <v>1000</v>
      </c>
    </row>
    <row r="18" spans="1:39" x14ac:dyDescent="0.25">
      <c r="A18" t="s">
        <v>547</v>
      </c>
      <c r="B18" s="62" t="str">
        <f t="shared" si="0"/>
        <v>1219043436</v>
      </c>
      <c r="C18" s="62">
        <v>2017</v>
      </c>
      <c r="D18" s="62">
        <v>12</v>
      </c>
      <c r="E18" s="62">
        <f t="shared" si="1"/>
        <v>19</v>
      </c>
      <c r="F18" s="147">
        <f t="shared" si="2"/>
        <v>4</v>
      </c>
      <c r="G18" s="147">
        <f t="shared" si="3"/>
        <v>16</v>
      </c>
      <c r="H18" s="147">
        <f t="shared" si="4"/>
        <v>34</v>
      </c>
      <c r="I18" s="147">
        <f t="shared" si="5"/>
        <v>36</v>
      </c>
      <c r="J18" s="62" t="str">
        <f t="shared" si="7"/>
        <v>2017-12-19-16:34:36-04</v>
      </c>
      <c r="K18">
        <v>2</v>
      </c>
      <c r="L18">
        <v>100</v>
      </c>
      <c r="M18">
        <v>959</v>
      </c>
      <c r="N18" s="150">
        <v>2.2900960000000001</v>
      </c>
      <c r="O18" s="150">
        <v>3.3331309999999998</v>
      </c>
      <c r="P18" s="150">
        <v>0.31314589999999998</v>
      </c>
      <c r="Q18" s="150">
        <v>2.0818560000000002</v>
      </c>
      <c r="R18" s="150">
        <v>-7.343356</v>
      </c>
      <c r="S18" s="150">
        <v>9.1849640000000008</v>
      </c>
      <c r="T18" s="150">
        <v>2.6573820000000001E-2</v>
      </c>
      <c r="U18" s="150">
        <v>2.6573820000000001E-2</v>
      </c>
      <c r="V18" s="150">
        <v>58.633879999999998</v>
      </c>
      <c r="W18" s="62">
        <f>VLOOKUP(L18,Sheet3!$E$1:$H$20,4,FALSE)</f>
        <v>3</v>
      </c>
      <c r="X18" s="62" t="str">
        <f t="shared" si="6"/>
        <v>Power Performance</v>
      </c>
      <c r="Y18" s="62" t="str">
        <f>VLOOKUP($K18,waveData!$K$3:$Z$11,2,FALSE)</f>
        <v>polychromatic long-crested head-on</v>
      </c>
      <c r="Z18" s="62" t="str">
        <f>VLOOKUP($K18,waveData!$K$3:$Z$11,3,FALSE)</f>
        <v>Bretschneider Spectrum</v>
      </c>
      <c r="AA18" s="62">
        <f>VLOOKUP($K18,waveData!$K$3:$Z$11,4,FALSE)</f>
        <v>0.1075</v>
      </c>
      <c r="AB18" s="62">
        <f>VLOOKUP($K18,waveData!$K$3:$Z$11,5,FALSE)</f>
        <v>1.5529999999999999</v>
      </c>
      <c r="AC18" s="62" t="str">
        <f>VLOOKUP($K18,waveData!$K$3:$Z$11,6,FALSE)</f>
        <v xml:space="preserve"> </v>
      </c>
      <c r="AD18" s="62">
        <f>VLOOKUP($K18,waveData!$K$3:$Z$11,7,FALSE)</f>
        <v>3.39E-2</v>
      </c>
      <c r="AE18" s="62">
        <f>VLOOKUP($K18,waveData!$K$3:$Z$11,8,FALSE)</f>
        <v>0</v>
      </c>
      <c r="AF18" s="62" t="str">
        <f>VLOOKUP($K18,waveData!$K$3:$Z$11,9,FALSE)</f>
        <v xml:space="preserve"> </v>
      </c>
      <c r="AG18" s="62" t="str">
        <f>VLOOKUP($K18,waveData!$K$3:$Z$11,10,FALSE)</f>
        <v xml:space="preserve"> </v>
      </c>
      <c r="AH18" s="62">
        <f>VLOOKUP($K18,waveData!$K$3:$Z$11,11,FALSE)</f>
        <v>7.8532000000000002</v>
      </c>
      <c r="AI18" s="62">
        <f>VLOOKUP($K18,waveData!$K$3:$Z$11,12,FALSE)</f>
        <v>1.4241999999999999</v>
      </c>
      <c r="AJ18" s="62">
        <f>VLOOKUP($K18,waveData!$K$3:$Z$11,13,FALSE)</f>
        <v>0.53090000000000004</v>
      </c>
      <c r="AK18" s="62">
        <f>VLOOKUP($K18,waveData!$K$3:$Z$11,14,FALSE)</f>
        <v>4.3</v>
      </c>
      <c r="AL18" s="62" t="str">
        <f>VLOOKUP($K18,waveData!$K$3:$Z$11,15,FALSE)</f>
        <v xml:space="preserve"> </v>
      </c>
      <c r="AM18" s="62">
        <f>VLOOKUP($K18,waveData!$K$3:$Z$11,16,FALSE)</f>
        <v>1000</v>
      </c>
    </row>
    <row r="19" spans="1:39" x14ac:dyDescent="0.25">
      <c r="A19" t="s">
        <v>548</v>
      </c>
      <c r="B19" s="62" t="str">
        <f t="shared" si="0"/>
        <v>1219035569</v>
      </c>
      <c r="C19" s="62">
        <v>2017</v>
      </c>
      <c r="D19" s="62">
        <v>12</v>
      </c>
      <c r="E19" s="62">
        <f t="shared" si="1"/>
        <v>19</v>
      </c>
      <c r="F19" s="147">
        <f t="shared" si="2"/>
        <v>3</v>
      </c>
      <c r="G19" s="147">
        <f t="shared" si="3"/>
        <v>15</v>
      </c>
      <c r="H19" s="147">
        <f t="shared" si="4"/>
        <v>55</v>
      </c>
      <c r="I19" s="147">
        <f t="shared" si="5"/>
        <v>69</v>
      </c>
      <c r="J19" s="62" t="str">
        <f t="shared" si="7"/>
        <v>2017-12-19-15:55:69-04</v>
      </c>
      <c r="K19">
        <v>2</v>
      </c>
      <c r="L19">
        <v>150</v>
      </c>
      <c r="M19">
        <v>964</v>
      </c>
      <c r="N19" s="150">
        <v>2.1689509999999999</v>
      </c>
      <c r="O19" s="150">
        <v>3.1467000000000001</v>
      </c>
      <c r="P19" s="150">
        <v>0.33460299999999998</v>
      </c>
      <c r="Q19" s="150">
        <v>1.7125520000000001</v>
      </c>
      <c r="R19" s="150">
        <v>-6.1902290000000004</v>
      </c>
      <c r="S19" s="150">
        <v>7.4572310000000002</v>
      </c>
      <c r="T19" s="150">
        <v>9.8139299999999999E-2</v>
      </c>
      <c r="U19" s="150">
        <v>9.8139299999999999E-2</v>
      </c>
      <c r="V19" s="150">
        <v>71.491380000000007</v>
      </c>
      <c r="W19" s="62">
        <f>VLOOKUP(L19,Sheet3!$E$1:$H$20,4,FALSE)</f>
        <v>4</v>
      </c>
      <c r="X19" s="62" t="str">
        <f t="shared" si="6"/>
        <v>Power Performance</v>
      </c>
      <c r="Y19" s="62" t="str">
        <f>VLOOKUP($K19,waveData!$K$3:$Z$11,2,FALSE)</f>
        <v>polychromatic long-crested head-on</v>
      </c>
      <c r="Z19" s="62" t="str">
        <f>VLOOKUP($K19,waveData!$K$3:$Z$11,3,FALSE)</f>
        <v>Bretschneider Spectrum</v>
      </c>
      <c r="AA19" s="62">
        <f>VLOOKUP($K19,waveData!$K$3:$Z$11,4,FALSE)</f>
        <v>0.1075</v>
      </c>
      <c r="AB19" s="62">
        <f>VLOOKUP($K19,waveData!$K$3:$Z$11,5,FALSE)</f>
        <v>1.5529999999999999</v>
      </c>
      <c r="AC19" s="62" t="str">
        <f>VLOOKUP($K19,waveData!$K$3:$Z$11,6,FALSE)</f>
        <v xml:space="preserve"> </v>
      </c>
      <c r="AD19" s="62">
        <f>VLOOKUP($K19,waveData!$K$3:$Z$11,7,FALSE)</f>
        <v>3.39E-2</v>
      </c>
      <c r="AE19" s="62">
        <f>VLOOKUP($K19,waveData!$K$3:$Z$11,8,FALSE)</f>
        <v>0</v>
      </c>
      <c r="AF19" s="62" t="str">
        <f>VLOOKUP($K19,waveData!$K$3:$Z$11,9,FALSE)</f>
        <v xml:space="preserve"> </v>
      </c>
      <c r="AG19" s="62" t="str">
        <f>VLOOKUP($K19,waveData!$K$3:$Z$11,10,FALSE)</f>
        <v xml:space="preserve"> </v>
      </c>
      <c r="AH19" s="62">
        <f>VLOOKUP($K19,waveData!$K$3:$Z$11,11,FALSE)</f>
        <v>7.8532000000000002</v>
      </c>
      <c r="AI19" s="62">
        <f>VLOOKUP($K19,waveData!$K$3:$Z$11,12,FALSE)</f>
        <v>1.4241999999999999</v>
      </c>
      <c r="AJ19" s="62">
        <f>VLOOKUP($K19,waveData!$K$3:$Z$11,13,FALSE)</f>
        <v>0.53090000000000004</v>
      </c>
      <c r="AK19" s="62">
        <f>VLOOKUP($K19,waveData!$K$3:$Z$11,14,FALSE)</f>
        <v>4.3</v>
      </c>
      <c r="AL19" s="62" t="str">
        <f>VLOOKUP($K19,waveData!$K$3:$Z$11,15,FALSE)</f>
        <v xml:space="preserve"> </v>
      </c>
      <c r="AM19" s="62">
        <f>VLOOKUP($K19,waveData!$K$3:$Z$11,16,FALSE)</f>
        <v>1000</v>
      </c>
    </row>
    <row r="20" spans="1:39" x14ac:dyDescent="0.25">
      <c r="A20" t="s">
        <v>549</v>
      </c>
      <c r="B20" s="62" t="str">
        <f t="shared" si="0"/>
        <v>1219041525</v>
      </c>
      <c r="C20" s="62">
        <v>2017</v>
      </c>
      <c r="D20" s="62">
        <v>12</v>
      </c>
      <c r="E20" s="62">
        <f t="shared" si="1"/>
        <v>19</v>
      </c>
      <c r="F20" s="147">
        <f t="shared" si="2"/>
        <v>4</v>
      </c>
      <c r="G20" s="147">
        <f t="shared" si="3"/>
        <v>16</v>
      </c>
      <c r="H20" s="147">
        <f t="shared" si="4"/>
        <v>15</v>
      </c>
      <c r="I20" s="147">
        <f t="shared" si="5"/>
        <v>25</v>
      </c>
      <c r="J20" s="62" t="str">
        <f t="shared" si="7"/>
        <v>2017-12-19-16:15:25-04</v>
      </c>
      <c r="K20">
        <v>2</v>
      </c>
      <c r="L20">
        <v>200</v>
      </c>
      <c r="M20">
        <v>964</v>
      </c>
      <c r="N20" s="150">
        <v>1.993455</v>
      </c>
      <c r="O20" s="150">
        <v>2.8985050000000001</v>
      </c>
      <c r="P20" s="150">
        <v>0.43076510000000001</v>
      </c>
      <c r="Q20" s="150">
        <v>1.4592099999999999</v>
      </c>
      <c r="R20" s="150">
        <v>-5.1804519999999998</v>
      </c>
      <c r="S20" s="150">
        <v>6.5505050000000002</v>
      </c>
      <c r="T20" s="150">
        <v>3.20837E-2</v>
      </c>
      <c r="U20" s="150">
        <v>3.20837E-2</v>
      </c>
      <c r="V20" s="150">
        <v>80.053730000000002</v>
      </c>
      <c r="W20" s="62">
        <f>VLOOKUP(L20,Sheet3!$E$1:$H$20,4,FALSE)</f>
        <v>5</v>
      </c>
      <c r="X20" s="62" t="str">
        <f t="shared" si="6"/>
        <v>Power Performance</v>
      </c>
      <c r="Y20" s="62" t="str">
        <f>VLOOKUP($K20,waveData!$K$3:$Z$11,2,FALSE)</f>
        <v>polychromatic long-crested head-on</v>
      </c>
      <c r="Z20" s="62" t="str">
        <f>VLOOKUP($K20,waveData!$K$3:$Z$11,3,FALSE)</f>
        <v>Bretschneider Spectrum</v>
      </c>
      <c r="AA20" s="62">
        <f>VLOOKUP($K20,waveData!$K$3:$Z$11,4,FALSE)</f>
        <v>0.1075</v>
      </c>
      <c r="AB20" s="62">
        <f>VLOOKUP($K20,waveData!$K$3:$Z$11,5,FALSE)</f>
        <v>1.5529999999999999</v>
      </c>
      <c r="AC20" s="62" t="str">
        <f>VLOOKUP($K20,waveData!$K$3:$Z$11,6,FALSE)</f>
        <v xml:space="preserve"> </v>
      </c>
      <c r="AD20" s="62">
        <f>VLOOKUP($K20,waveData!$K$3:$Z$11,7,FALSE)</f>
        <v>3.39E-2</v>
      </c>
      <c r="AE20" s="62">
        <f>VLOOKUP($K20,waveData!$K$3:$Z$11,8,FALSE)</f>
        <v>0</v>
      </c>
      <c r="AF20" s="62" t="str">
        <f>VLOOKUP($K20,waveData!$K$3:$Z$11,9,FALSE)</f>
        <v xml:space="preserve"> </v>
      </c>
      <c r="AG20" s="62" t="str">
        <f>VLOOKUP($K20,waveData!$K$3:$Z$11,10,FALSE)</f>
        <v xml:space="preserve"> </v>
      </c>
      <c r="AH20" s="62">
        <f>VLOOKUP($K20,waveData!$K$3:$Z$11,11,FALSE)</f>
        <v>7.8532000000000002</v>
      </c>
      <c r="AI20" s="62">
        <f>VLOOKUP($K20,waveData!$K$3:$Z$11,12,FALSE)</f>
        <v>1.4241999999999999</v>
      </c>
      <c r="AJ20" s="62">
        <f>VLOOKUP($K20,waveData!$K$3:$Z$11,13,FALSE)</f>
        <v>0.53090000000000004</v>
      </c>
      <c r="AK20" s="62">
        <f>VLOOKUP($K20,waveData!$K$3:$Z$11,14,FALSE)</f>
        <v>4.3</v>
      </c>
      <c r="AL20" s="62" t="str">
        <f>VLOOKUP($K20,waveData!$K$3:$Z$11,15,FALSE)</f>
        <v xml:space="preserve"> </v>
      </c>
      <c r="AM20" s="62">
        <f>VLOOKUP($K20,waveData!$K$3:$Z$11,16,FALSE)</f>
        <v>1000</v>
      </c>
    </row>
    <row r="21" spans="1:39" x14ac:dyDescent="0.25">
      <c r="A21" t="s">
        <v>550</v>
      </c>
      <c r="B21" s="62" t="str">
        <f t="shared" si="0"/>
        <v>1220100190</v>
      </c>
      <c r="C21" s="62">
        <v>2017</v>
      </c>
      <c r="D21" s="62">
        <v>12</v>
      </c>
      <c r="E21" s="62">
        <f t="shared" si="1"/>
        <v>20</v>
      </c>
      <c r="F21" s="147">
        <f t="shared" si="2"/>
        <v>10</v>
      </c>
      <c r="G21" s="147">
        <f t="shared" si="3"/>
        <v>10</v>
      </c>
      <c r="H21" s="147">
        <f t="shared" si="4"/>
        <v>1</v>
      </c>
      <c r="I21" s="147">
        <f t="shared" si="5"/>
        <v>90</v>
      </c>
      <c r="J21" s="62" t="str">
        <f t="shared" si="7"/>
        <v>2017-12-20-10:01:90-04</v>
      </c>
      <c r="K21">
        <v>3</v>
      </c>
      <c r="L21">
        <v>400</v>
      </c>
      <c r="M21">
        <v>964</v>
      </c>
      <c r="N21" s="150">
        <v>2.7640319999999998</v>
      </c>
      <c r="O21" s="150">
        <v>3.989843</v>
      </c>
      <c r="P21" s="150">
        <v>0.45983750000000001</v>
      </c>
      <c r="Q21" s="150">
        <v>1.7131510000000001</v>
      </c>
      <c r="R21" s="150">
        <v>-5.3614490000000004</v>
      </c>
      <c r="S21" s="150">
        <v>6.6258559999999997</v>
      </c>
      <c r="T21" s="150">
        <v>-0.22187509999999999</v>
      </c>
      <c r="U21" s="150">
        <v>-0.22187509999999999</v>
      </c>
      <c r="V21" s="150">
        <v>120.66030000000001</v>
      </c>
      <c r="W21" s="62">
        <f>VLOOKUP(L21,Sheet3!$E$1:$H$20,4,FALSE)</f>
        <v>15</v>
      </c>
      <c r="X21" s="62" t="str">
        <f t="shared" si="6"/>
        <v>Power Performance</v>
      </c>
      <c r="Y21" s="62" t="str">
        <f>VLOOKUP($K21,waveData!$K$3:$Z$11,2,FALSE)</f>
        <v>polychromatic long-crested head-on</v>
      </c>
      <c r="Z21" s="62" t="str">
        <f>VLOOKUP($K21,waveData!$K$3:$Z$11,3,FALSE)</f>
        <v>Bretschneider Spectrum</v>
      </c>
      <c r="AA21" s="62">
        <f>VLOOKUP($K21,waveData!$K$3:$Z$11,4,FALSE)</f>
        <v>0.11409999999999999</v>
      </c>
      <c r="AB21" s="62">
        <f>VLOOKUP($K21,waveData!$K$3:$Z$11,5,FALSE)</f>
        <v>2.3664000000000001</v>
      </c>
      <c r="AC21" s="62" t="str">
        <f>VLOOKUP($K21,waveData!$K$3:$Z$11,6,FALSE)</f>
        <v xml:space="preserve"> </v>
      </c>
      <c r="AD21" s="62">
        <f>VLOOKUP($K21,waveData!$K$3:$Z$11,7,FALSE)</f>
        <v>1.7399999999999999E-2</v>
      </c>
      <c r="AE21" s="62">
        <f>VLOOKUP($K21,waveData!$K$3:$Z$11,8,FALSE)</f>
        <v>0</v>
      </c>
      <c r="AF21" s="62" t="str">
        <f>VLOOKUP($K21,waveData!$K$3:$Z$11,9,FALSE)</f>
        <v xml:space="preserve"> </v>
      </c>
      <c r="AG21" s="62" t="str">
        <f>VLOOKUP($K21,waveData!$K$3:$Z$11,10,FALSE)</f>
        <v xml:space="preserve"> </v>
      </c>
      <c r="AH21" s="62">
        <f>VLOOKUP($K21,waveData!$K$3:$Z$11,11,FALSE)</f>
        <v>13.044</v>
      </c>
      <c r="AI21" s="62">
        <f>VLOOKUP($K21,waveData!$K$3:$Z$11,12,FALSE)</f>
        <v>2.0514999999999999</v>
      </c>
      <c r="AJ21" s="62">
        <f>VLOOKUP($K21,waveData!$K$3:$Z$11,13,FALSE)</f>
        <v>0.50019999999999998</v>
      </c>
      <c r="AK21" s="62">
        <f>VLOOKUP($K21,waveData!$K$3:$Z$11,14,FALSE)</f>
        <v>4.3</v>
      </c>
      <c r="AL21" s="62" t="str">
        <f>VLOOKUP($K21,waveData!$K$3:$Z$11,15,FALSE)</f>
        <v xml:space="preserve"> </v>
      </c>
      <c r="AM21" s="62">
        <f>VLOOKUP($K21,waveData!$K$3:$Z$11,16,FALSE)</f>
        <v>1000</v>
      </c>
    </row>
    <row r="22" spans="1:39" x14ac:dyDescent="0.25">
      <c r="A22" t="s">
        <v>551</v>
      </c>
      <c r="B22" s="62" t="str">
        <f t="shared" si="0"/>
        <v>1220084548</v>
      </c>
      <c r="C22" s="62">
        <v>2017</v>
      </c>
      <c r="D22" s="62">
        <v>12</v>
      </c>
      <c r="E22" s="62">
        <f t="shared" si="1"/>
        <v>20</v>
      </c>
      <c r="F22" s="147">
        <f t="shared" si="2"/>
        <v>8</v>
      </c>
      <c r="G22" s="147">
        <f t="shared" si="3"/>
        <v>8</v>
      </c>
      <c r="H22" s="147">
        <f t="shared" si="4"/>
        <v>45</v>
      </c>
      <c r="I22" s="147">
        <f t="shared" si="5"/>
        <v>48</v>
      </c>
      <c r="J22" s="62" t="str">
        <f t="shared" si="7"/>
        <v>2017-12-20-08:45:48-04</v>
      </c>
      <c r="K22">
        <v>3</v>
      </c>
      <c r="L22">
        <v>450</v>
      </c>
      <c r="M22">
        <v>957</v>
      </c>
      <c r="N22" s="150">
        <v>2.7730600000000001</v>
      </c>
      <c r="O22" s="150">
        <v>3.9739429999999998</v>
      </c>
      <c r="P22" s="150">
        <v>0.1666668</v>
      </c>
      <c r="Q22" s="150">
        <v>1.6348529999999999</v>
      </c>
      <c r="R22" s="150">
        <v>-5.2328219999999996</v>
      </c>
      <c r="S22" s="150">
        <v>6.0586820000000001</v>
      </c>
      <c r="T22" s="150">
        <v>1.431343</v>
      </c>
      <c r="U22" s="150">
        <v>1.431343</v>
      </c>
      <c r="V22" s="150">
        <v>132.1422</v>
      </c>
      <c r="W22" s="62">
        <f>VLOOKUP(L22,Sheet3!$E$1:$H$20,4,FALSE)</f>
        <v>17</v>
      </c>
      <c r="X22" s="62" t="str">
        <f t="shared" si="6"/>
        <v>Power Performance</v>
      </c>
      <c r="Y22" s="62" t="str">
        <f>VLOOKUP($K22,waveData!$K$3:$Z$11,2,FALSE)</f>
        <v>polychromatic long-crested head-on</v>
      </c>
      <c r="Z22" s="62" t="str">
        <f>VLOOKUP($K22,waveData!$K$3:$Z$11,3,FALSE)</f>
        <v>Bretschneider Spectrum</v>
      </c>
      <c r="AA22" s="62">
        <f>VLOOKUP($K22,waveData!$K$3:$Z$11,4,FALSE)</f>
        <v>0.11409999999999999</v>
      </c>
      <c r="AB22" s="62">
        <f>VLOOKUP($K22,waveData!$K$3:$Z$11,5,FALSE)</f>
        <v>2.3664000000000001</v>
      </c>
      <c r="AC22" s="62" t="str">
        <f>VLOOKUP($K22,waveData!$K$3:$Z$11,6,FALSE)</f>
        <v xml:space="preserve"> </v>
      </c>
      <c r="AD22" s="62">
        <f>VLOOKUP($K22,waveData!$K$3:$Z$11,7,FALSE)</f>
        <v>1.7399999999999999E-2</v>
      </c>
      <c r="AE22" s="62">
        <f>VLOOKUP($K22,waveData!$K$3:$Z$11,8,FALSE)</f>
        <v>0</v>
      </c>
      <c r="AF22" s="62" t="str">
        <f>VLOOKUP($K22,waveData!$K$3:$Z$11,9,FALSE)</f>
        <v xml:space="preserve"> </v>
      </c>
      <c r="AG22" s="62" t="str">
        <f>VLOOKUP($K22,waveData!$K$3:$Z$11,10,FALSE)</f>
        <v xml:space="preserve"> </v>
      </c>
      <c r="AH22" s="62">
        <f>VLOOKUP($K22,waveData!$K$3:$Z$11,11,FALSE)</f>
        <v>13.044</v>
      </c>
      <c r="AI22" s="62">
        <f>VLOOKUP($K22,waveData!$K$3:$Z$11,12,FALSE)</f>
        <v>2.0514999999999999</v>
      </c>
      <c r="AJ22" s="62">
        <f>VLOOKUP($K22,waveData!$K$3:$Z$11,13,FALSE)</f>
        <v>0.50019999999999998</v>
      </c>
      <c r="AK22" s="62">
        <f>VLOOKUP($K22,waveData!$K$3:$Z$11,14,FALSE)</f>
        <v>4.3</v>
      </c>
      <c r="AL22" s="62" t="str">
        <f>VLOOKUP($K22,waveData!$K$3:$Z$11,15,FALSE)</f>
        <v xml:space="preserve"> </v>
      </c>
      <c r="AM22" s="62">
        <f>VLOOKUP($K22,waveData!$K$3:$Z$11,16,FALSE)</f>
        <v>1000</v>
      </c>
    </row>
    <row r="23" spans="1:39" x14ac:dyDescent="0.25">
      <c r="A23" t="s">
        <v>552</v>
      </c>
      <c r="B23" s="62" t="str">
        <f t="shared" si="0"/>
        <v>1220094149</v>
      </c>
      <c r="C23" s="62">
        <v>2017</v>
      </c>
      <c r="D23" s="62">
        <v>12</v>
      </c>
      <c r="E23" s="62">
        <f t="shared" si="1"/>
        <v>20</v>
      </c>
      <c r="F23" s="147">
        <f t="shared" si="2"/>
        <v>9</v>
      </c>
      <c r="G23" s="147">
        <f t="shared" si="3"/>
        <v>9</v>
      </c>
      <c r="H23" s="147">
        <f t="shared" si="4"/>
        <v>41</v>
      </c>
      <c r="I23" s="147">
        <f t="shared" si="5"/>
        <v>49</v>
      </c>
      <c r="J23" s="62" t="str">
        <f t="shared" si="7"/>
        <v>2017-12-20-09:41:49-04</v>
      </c>
      <c r="K23">
        <v>3</v>
      </c>
      <c r="L23">
        <v>500</v>
      </c>
      <c r="M23">
        <v>964</v>
      </c>
      <c r="N23" s="150">
        <v>2.7321170000000001</v>
      </c>
      <c r="O23" s="150">
        <v>3.9102730000000001</v>
      </c>
      <c r="P23" s="150">
        <v>0.67070960000000002</v>
      </c>
      <c r="Q23" s="150">
        <v>1.5532919999999999</v>
      </c>
      <c r="R23" s="150">
        <v>-4.5551380000000004</v>
      </c>
      <c r="S23" s="150">
        <v>6.2602909999999996</v>
      </c>
      <c r="T23" s="150">
        <v>-2.5680990000000001E-2</v>
      </c>
      <c r="U23" s="150">
        <v>-2.5680990000000001E-2</v>
      </c>
      <c r="V23" s="150">
        <v>134.94069999999999</v>
      </c>
      <c r="W23" s="62">
        <f>VLOOKUP(L23,Sheet3!$E$1:$H$20,4,FALSE)</f>
        <v>18</v>
      </c>
      <c r="X23" s="62" t="str">
        <f t="shared" si="6"/>
        <v>Power Performance</v>
      </c>
      <c r="Y23" s="62" t="str">
        <f>VLOOKUP($K23,waveData!$K$3:$Z$11,2,FALSE)</f>
        <v>polychromatic long-crested head-on</v>
      </c>
      <c r="Z23" s="62" t="str">
        <f>VLOOKUP($K23,waveData!$K$3:$Z$11,3,FALSE)</f>
        <v>Bretschneider Spectrum</v>
      </c>
      <c r="AA23" s="62">
        <f>VLOOKUP($K23,waveData!$K$3:$Z$11,4,FALSE)</f>
        <v>0.11409999999999999</v>
      </c>
      <c r="AB23" s="62">
        <f>VLOOKUP($K23,waveData!$K$3:$Z$11,5,FALSE)</f>
        <v>2.3664000000000001</v>
      </c>
      <c r="AC23" s="62" t="str">
        <f>VLOOKUP($K23,waveData!$K$3:$Z$11,6,FALSE)</f>
        <v xml:space="preserve"> </v>
      </c>
      <c r="AD23" s="62">
        <f>VLOOKUP($K23,waveData!$K$3:$Z$11,7,FALSE)</f>
        <v>1.7399999999999999E-2</v>
      </c>
      <c r="AE23" s="62">
        <f>VLOOKUP($K23,waveData!$K$3:$Z$11,8,FALSE)</f>
        <v>0</v>
      </c>
      <c r="AF23" s="62" t="str">
        <f>VLOOKUP($K23,waveData!$K$3:$Z$11,9,FALSE)</f>
        <v xml:space="preserve"> </v>
      </c>
      <c r="AG23" s="62" t="str">
        <f>VLOOKUP($K23,waveData!$K$3:$Z$11,10,FALSE)</f>
        <v xml:space="preserve"> </v>
      </c>
      <c r="AH23" s="62">
        <f>VLOOKUP($K23,waveData!$K$3:$Z$11,11,FALSE)</f>
        <v>13.044</v>
      </c>
      <c r="AI23" s="62">
        <f>VLOOKUP($K23,waveData!$K$3:$Z$11,12,FALSE)</f>
        <v>2.0514999999999999</v>
      </c>
      <c r="AJ23" s="62">
        <f>VLOOKUP($K23,waveData!$K$3:$Z$11,13,FALSE)</f>
        <v>0.50019999999999998</v>
      </c>
      <c r="AK23" s="62">
        <f>VLOOKUP($K23,waveData!$K$3:$Z$11,14,FALSE)</f>
        <v>4.3</v>
      </c>
      <c r="AL23" s="62" t="str">
        <f>VLOOKUP($K23,waveData!$K$3:$Z$11,15,FALSE)</f>
        <v xml:space="preserve"> </v>
      </c>
      <c r="AM23" s="62">
        <f>VLOOKUP($K23,waveData!$K$3:$Z$11,16,FALSE)</f>
        <v>1000</v>
      </c>
    </row>
    <row r="24" spans="1:39" x14ac:dyDescent="0.25">
      <c r="A24" t="s">
        <v>553</v>
      </c>
      <c r="B24" s="62" t="str">
        <f t="shared" si="0"/>
        <v>1220092219</v>
      </c>
      <c r="C24" s="62">
        <v>2017</v>
      </c>
      <c r="D24" s="62">
        <v>12</v>
      </c>
      <c r="E24" s="62">
        <f t="shared" si="1"/>
        <v>20</v>
      </c>
      <c r="F24" s="147">
        <f t="shared" si="2"/>
        <v>9</v>
      </c>
      <c r="G24" s="147">
        <f t="shared" si="3"/>
        <v>9</v>
      </c>
      <c r="H24" s="147">
        <f t="shared" si="4"/>
        <v>22</v>
      </c>
      <c r="I24" s="147">
        <f t="shared" si="5"/>
        <v>19</v>
      </c>
      <c r="J24" s="62" t="str">
        <f t="shared" si="7"/>
        <v>2017-12-20-09:22:19-04</v>
      </c>
      <c r="K24">
        <v>3</v>
      </c>
      <c r="L24">
        <v>550</v>
      </c>
      <c r="M24">
        <v>957</v>
      </c>
      <c r="N24" s="150">
        <v>2.7247129999999999</v>
      </c>
      <c r="O24" s="150">
        <v>3.8593959999999998</v>
      </c>
      <c r="P24" s="150">
        <v>0.6395362</v>
      </c>
      <c r="Q24" s="150">
        <v>1.489765</v>
      </c>
      <c r="R24" s="150">
        <v>-4.2469580000000002</v>
      </c>
      <c r="S24" s="150">
        <v>5.9703270000000002</v>
      </c>
      <c r="T24" s="150">
        <v>8.2103880000000004E-2</v>
      </c>
      <c r="U24" s="150">
        <v>8.2103880000000004E-2</v>
      </c>
      <c r="V24" s="150">
        <v>140.68430000000001</v>
      </c>
      <c r="W24" s="62">
        <f>VLOOKUP(L24,Sheet3!$E$1:$H$20,4,FALSE)</f>
        <v>19</v>
      </c>
      <c r="X24" s="62" t="str">
        <f t="shared" si="6"/>
        <v>Power Performance</v>
      </c>
      <c r="Y24" s="62" t="str">
        <f>VLOOKUP($K24,waveData!$K$3:$Z$11,2,FALSE)</f>
        <v>polychromatic long-crested head-on</v>
      </c>
      <c r="Z24" s="62" t="str">
        <f>VLOOKUP($K24,waveData!$K$3:$Z$11,3,FALSE)</f>
        <v>Bretschneider Spectrum</v>
      </c>
      <c r="AA24" s="62">
        <f>VLOOKUP($K24,waveData!$K$3:$Z$11,4,FALSE)</f>
        <v>0.11409999999999999</v>
      </c>
      <c r="AB24" s="62">
        <f>VLOOKUP($K24,waveData!$K$3:$Z$11,5,FALSE)</f>
        <v>2.3664000000000001</v>
      </c>
      <c r="AC24" s="62" t="str">
        <f>VLOOKUP($K24,waveData!$K$3:$Z$11,6,FALSE)</f>
        <v xml:space="preserve"> </v>
      </c>
      <c r="AD24" s="62">
        <f>VLOOKUP($K24,waveData!$K$3:$Z$11,7,FALSE)</f>
        <v>1.7399999999999999E-2</v>
      </c>
      <c r="AE24" s="62">
        <f>VLOOKUP($K24,waveData!$K$3:$Z$11,8,FALSE)</f>
        <v>0</v>
      </c>
      <c r="AF24" s="62" t="str">
        <f>VLOOKUP($K24,waveData!$K$3:$Z$11,9,FALSE)</f>
        <v xml:space="preserve"> </v>
      </c>
      <c r="AG24" s="62" t="str">
        <f>VLOOKUP($K24,waveData!$K$3:$Z$11,10,FALSE)</f>
        <v xml:space="preserve"> </v>
      </c>
      <c r="AH24" s="62">
        <f>VLOOKUP($K24,waveData!$K$3:$Z$11,11,FALSE)</f>
        <v>13.044</v>
      </c>
      <c r="AI24" s="62">
        <f>VLOOKUP($K24,waveData!$K$3:$Z$11,12,FALSE)</f>
        <v>2.0514999999999999</v>
      </c>
      <c r="AJ24" s="62">
        <f>VLOOKUP($K24,waveData!$K$3:$Z$11,13,FALSE)</f>
        <v>0.50019999999999998</v>
      </c>
      <c r="AK24" s="62">
        <f>VLOOKUP($K24,waveData!$K$3:$Z$11,14,FALSE)</f>
        <v>4.3</v>
      </c>
      <c r="AL24" s="62" t="str">
        <f>VLOOKUP($K24,waveData!$K$3:$Z$11,15,FALSE)</f>
        <v xml:space="preserve"> </v>
      </c>
      <c r="AM24" s="62">
        <f>VLOOKUP($K24,waveData!$K$3:$Z$11,16,FALSE)</f>
        <v>1000</v>
      </c>
    </row>
    <row r="25" spans="1:39" x14ac:dyDescent="0.25">
      <c r="A25" t="s">
        <v>554</v>
      </c>
      <c r="B25" s="62" t="str">
        <f t="shared" si="0"/>
        <v>1220105966</v>
      </c>
      <c r="C25" s="62">
        <v>2017</v>
      </c>
      <c r="D25" s="62">
        <v>12</v>
      </c>
      <c r="E25" s="62">
        <f t="shared" si="1"/>
        <v>20</v>
      </c>
      <c r="F25" s="147">
        <f t="shared" si="2"/>
        <v>10</v>
      </c>
      <c r="G25" s="147">
        <f t="shared" si="3"/>
        <v>10</v>
      </c>
      <c r="H25" s="147">
        <f t="shared" si="4"/>
        <v>59</v>
      </c>
      <c r="I25" s="147">
        <f t="shared" si="5"/>
        <v>66</v>
      </c>
      <c r="J25" s="62" t="str">
        <f t="shared" si="7"/>
        <v>2017-12-20-10:59:66-04</v>
      </c>
      <c r="K25">
        <v>4</v>
      </c>
      <c r="L25">
        <v>220</v>
      </c>
      <c r="M25">
        <v>964</v>
      </c>
      <c r="N25" s="150">
        <v>3.7251530000000002</v>
      </c>
      <c r="O25" s="150">
        <v>5.385078</v>
      </c>
      <c r="P25" s="150">
        <v>0.75041219999999997</v>
      </c>
      <c r="Q25" s="150">
        <v>2.2070539999999998</v>
      </c>
      <c r="R25" s="150">
        <v>-7.3845770000000002</v>
      </c>
      <c r="S25" s="150">
        <v>9.2780210000000007</v>
      </c>
      <c r="T25" s="150">
        <v>3.852365E-2</v>
      </c>
      <c r="U25" s="150">
        <v>3.852365E-2</v>
      </c>
      <c r="V25" s="150">
        <v>103.72880000000001</v>
      </c>
      <c r="W25" s="62">
        <f>VLOOKUP(L25,Sheet3!$E$1:$H$20,4,FALSE)</f>
        <v>6</v>
      </c>
      <c r="X25" s="62" t="str">
        <f t="shared" si="6"/>
        <v>Power Performance</v>
      </c>
      <c r="Y25" s="62" t="str">
        <f>VLOOKUP($K25,waveData!$K$3:$Z$11,2,FALSE)</f>
        <v>polychromatic long-crested head-on</v>
      </c>
      <c r="Z25" s="62" t="str">
        <f>VLOOKUP($K25,waveData!$K$3:$Z$11,3,FALSE)</f>
        <v>Bretschneider Spectrum</v>
      </c>
      <c r="AA25" s="62">
        <f>VLOOKUP($K25,waveData!$K$3:$Z$11,4,FALSE)</f>
        <v>0.13969999999999999</v>
      </c>
      <c r="AB25" s="62">
        <f>VLOOKUP($K25,waveData!$K$3:$Z$11,5,FALSE)</f>
        <v>1.9878</v>
      </c>
      <c r="AC25" s="62" t="str">
        <f>VLOOKUP($K25,waveData!$K$3:$Z$11,6,FALSE)</f>
        <v xml:space="preserve"> </v>
      </c>
      <c r="AD25" s="62">
        <f>VLOOKUP($K25,waveData!$K$3:$Z$11,7,FALSE)</f>
        <v>3.32E-2</v>
      </c>
      <c r="AE25" s="62">
        <f>VLOOKUP($K25,waveData!$K$3:$Z$11,8,FALSE)</f>
        <v>0</v>
      </c>
      <c r="AF25" s="62" t="str">
        <f>VLOOKUP($K25,waveData!$K$3:$Z$11,9,FALSE)</f>
        <v xml:space="preserve"> </v>
      </c>
      <c r="AG25" s="62" t="str">
        <f>VLOOKUP($K25,waveData!$K$3:$Z$11,10,FALSE)</f>
        <v xml:space="preserve"> </v>
      </c>
      <c r="AH25" s="62">
        <f>VLOOKUP($K25,waveData!$K$3:$Z$11,11,FALSE)</f>
        <v>15.3545</v>
      </c>
      <c r="AI25" s="62">
        <f>VLOOKUP($K25,waveData!$K$3:$Z$11,12,FALSE)</f>
        <v>1.6426000000000001</v>
      </c>
      <c r="AJ25" s="62">
        <f>VLOOKUP($K25,waveData!$K$3:$Z$11,13,FALSE)</f>
        <v>0.50729999999999997</v>
      </c>
      <c r="AK25" s="62">
        <f>VLOOKUP($K25,waveData!$K$3:$Z$11,14,FALSE)</f>
        <v>4.3</v>
      </c>
      <c r="AL25" s="62" t="str">
        <f>VLOOKUP($K25,waveData!$K$3:$Z$11,15,FALSE)</f>
        <v xml:space="preserve"> </v>
      </c>
      <c r="AM25" s="62">
        <f>VLOOKUP($K25,waveData!$K$3:$Z$11,16,FALSE)</f>
        <v>1000</v>
      </c>
    </row>
    <row r="26" spans="1:39" x14ac:dyDescent="0.25">
      <c r="A26" t="s">
        <v>555</v>
      </c>
      <c r="B26" s="62" t="str">
        <f t="shared" si="0"/>
        <v>1220102066</v>
      </c>
      <c r="C26" s="62">
        <v>2017</v>
      </c>
      <c r="D26" s="62">
        <v>12</v>
      </c>
      <c r="E26" s="62">
        <f t="shared" si="1"/>
        <v>20</v>
      </c>
      <c r="F26" s="147">
        <f t="shared" si="2"/>
        <v>10</v>
      </c>
      <c r="G26" s="147">
        <f t="shared" si="3"/>
        <v>10</v>
      </c>
      <c r="H26" s="147">
        <f t="shared" si="4"/>
        <v>20</v>
      </c>
      <c r="I26" s="147">
        <f t="shared" si="5"/>
        <v>66</v>
      </c>
      <c r="J26" s="62" t="str">
        <f t="shared" si="7"/>
        <v>2017-12-20-10:20:66-04</v>
      </c>
      <c r="K26">
        <v>4</v>
      </c>
      <c r="L26">
        <v>275</v>
      </c>
      <c r="M26">
        <v>964</v>
      </c>
      <c r="N26" s="150">
        <v>3.5988660000000001</v>
      </c>
      <c r="O26" s="150">
        <v>5.1666679999999996</v>
      </c>
      <c r="P26" s="150">
        <v>0.65946780000000005</v>
      </c>
      <c r="Q26" s="150">
        <v>1.987312</v>
      </c>
      <c r="R26" s="150">
        <v>-6.7030010000000004</v>
      </c>
      <c r="S26" s="150">
        <v>8.2384050000000002</v>
      </c>
      <c r="T26" s="150">
        <v>-3.9135389999999999E-2</v>
      </c>
      <c r="U26" s="150">
        <v>-3.9135389999999999E-2</v>
      </c>
      <c r="V26" s="150">
        <v>113.8459</v>
      </c>
      <c r="W26" s="62">
        <f>VLOOKUP(L26,Sheet3!$E$1:$H$20,4,FALSE)</f>
        <v>9</v>
      </c>
      <c r="X26" s="62" t="str">
        <f t="shared" si="6"/>
        <v>Power Performance</v>
      </c>
      <c r="Y26" s="62" t="str">
        <f>VLOOKUP($K26,waveData!$K$3:$Z$11,2,FALSE)</f>
        <v>polychromatic long-crested head-on</v>
      </c>
      <c r="Z26" s="62" t="str">
        <f>VLOOKUP($K26,waveData!$K$3:$Z$11,3,FALSE)</f>
        <v>Bretschneider Spectrum</v>
      </c>
      <c r="AA26" s="62">
        <f>VLOOKUP($K26,waveData!$K$3:$Z$11,4,FALSE)</f>
        <v>0.13969999999999999</v>
      </c>
      <c r="AB26" s="62">
        <f>VLOOKUP($K26,waveData!$K$3:$Z$11,5,FALSE)</f>
        <v>1.9878</v>
      </c>
      <c r="AC26" s="62" t="str">
        <f>VLOOKUP($K26,waveData!$K$3:$Z$11,6,FALSE)</f>
        <v xml:space="preserve"> </v>
      </c>
      <c r="AD26" s="62">
        <f>VLOOKUP($K26,waveData!$K$3:$Z$11,7,FALSE)</f>
        <v>3.32E-2</v>
      </c>
      <c r="AE26" s="62">
        <f>VLOOKUP($K26,waveData!$K$3:$Z$11,8,FALSE)</f>
        <v>0</v>
      </c>
      <c r="AF26" s="62" t="str">
        <f>VLOOKUP($K26,waveData!$K$3:$Z$11,9,FALSE)</f>
        <v xml:space="preserve"> </v>
      </c>
      <c r="AG26" s="62" t="str">
        <f>VLOOKUP($K26,waveData!$K$3:$Z$11,10,FALSE)</f>
        <v xml:space="preserve"> </v>
      </c>
      <c r="AH26" s="62">
        <f>VLOOKUP($K26,waveData!$K$3:$Z$11,11,FALSE)</f>
        <v>15.3545</v>
      </c>
      <c r="AI26" s="62">
        <f>VLOOKUP($K26,waveData!$K$3:$Z$11,12,FALSE)</f>
        <v>1.6426000000000001</v>
      </c>
      <c r="AJ26" s="62">
        <f>VLOOKUP($K26,waveData!$K$3:$Z$11,13,FALSE)</f>
        <v>0.50729999999999997</v>
      </c>
      <c r="AK26" s="62">
        <f>VLOOKUP($K26,waveData!$K$3:$Z$11,14,FALSE)</f>
        <v>4.3</v>
      </c>
      <c r="AL26" s="62" t="str">
        <f>VLOOKUP($K26,waveData!$K$3:$Z$11,15,FALSE)</f>
        <v xml:space="preserve"> </v>
      </c>
      <c r="AM26" s="62">
        <f>VLOOKUP($K26,waveData!$K$3:$Z$11,16,FALSE)</f>
        <v>1000</v>
      </c>
    </row>
    <row r="27" spans="1:39" x14ac:dyDescent="0.25">
      <c r="A27" t="s">
        <v>556</v>
      </c>
      <c r="B27" s="62" t="str">
        <f t="shared" si="0"/>
        <v>1220103980</v>
      </c>
      <c r="C27" s="62">
        <v>2017</v>
      </c>
      <c r="D27" s="62">
        <v>12</v>
      </c>
      <c r="E27" s="62">
        <f t="shared" si="1"/>
        <v>20</v>
      </c>
      <c r="F27" s="147">
        <f t="shared" si="2"/>
        <v>10</v>
      </c>
      <c r="G27" s="147">
        <f t="shared" si="3"/>
        <v>10</v>
      </c>
      <c r="H27" s="147">
        <f t="shared" si="4"/>
        <v>39</v>
      </c>
      <c r="I27" s="147">
        <f t="shared" si="5"/>
        <v>80</v>
      </c>
      <c r="J27" s="62" t="str">
        <f t="shared" si="7"/>
        <v>2017-12-20-10:39:80-04</v>
      </c>
      <c r="K27">
        <v>4</v>
      </c>
      <c r="L27">
        <v>275</v>
      </c>
      <c r="M27">
        <v>964</v>
      </c>
      <c r="N27" s="150">
        <v>3.561782</v>
      </c>
      <c r="O27" s="150">
        <v>5.1350720000000001</v>
      </c>
      <c r="P27" s="150">
        <v>0.66735860000000002</v>
      </c>
      <c r="Q27" s="150">
        <v>1.9792149999999999</v>
      </c>
      <c r="R27" s="150">
        <v>-6.7136069999999997</v>
      </c>
      <c r="S27" s="150">
        <v>8.2033850000000008</v>
      </c>
      <c r="T27" s="150">
        <v>-0.1187083</v>
      </c>
      <c r="U27" s="150">
        <v>-0.1187083</v>
      </c>
      <c r="V27" s="150">
        <v>112.517</v>
      </c>
      <c r="W27" s="62">
        <f>VLOOKUP(L27,Sheet3!$E$1:$H$20,4,FALSE)</f>
        <v>9</v>
      </c>
      <c r="X27" s="62" t="str">
        <f t="shared" si="6"/>
        <v>Power Performance</v>
      </c>
      <c r="Y27" s="62" t="str">
        <f>VLOOKUP($K27,waveData!$K$3:$Z$11,2,FALSE)</f>
        <v>polychromatic long-crested head-on</v>
      </c>
      <c r="Z27" s="62" t="str">
        <f>VLOOKUP($K27,waveData!$K$3:$Z$11,3,FALSE)</f>
        <v>Bretschneider Spectrum</v>
      </c>
      <c r="AA27" s="62">
        <f>VLOOKUP($K27,waveData!$K$3:$Z$11,4,FALSE)</f>
        <v>0.13969999999999999</v>
      </c>
      <c r="AB27" s="62">
        <f>VLOOKUP($K27,waveData!$K$3:$Z$11,5,FALSE)</f>
        <v>1.9878</v>
      </c>
      <c r="AC27" s="62" t="str">
        <f>VLOOKUP($K27,waveData!$K$3:$Z$11,6,FALSE)</f>
        <v xml:space="preserve"> </v>
      </c>
      <c r="AD27" s="62">
        <f>VLOOKUP($K27,waveData!$K$3:$Z$11,7,FALSE)</f>
        <v>3.32E-2</v>
      </c>
      <c r="AE27" s="62">
        <f>VLOOKUP($K27,waveData!$K$3:$Z$11,8,FALSE)</f>
        <v>0</v>
      </c>
      <c r="AF27" s="62" t="str">
        <f>VLOOKUP($K27,waveData!$K$3:$Z$11,9,FALSE)</f>
        <v xml:space="preserve"> </v>
      </c>
      <c r="AG27" s="62" t="str">
        <f>VLOOKUP($K27,waveData!$K$3:$Z$11,10,FALSE)</f>
        <v xml:space="preserve"> </v>
      </c>
      <c r="AH27" s="62">
        <f>VLOOKUP($K27,waveData!$K$3:$Z$11,11,FALSE)</f>
        <v>15.3545</v>
      </c>
      <c r="AI27" s="62">
        <f>VLOOKUP($K27,waveData!$K$3:$Z$11,12,FALSE)</f>
        <v>1.6426000000000001</v>
      </c>
      <c r="AJ27" s="62">
        <f>VLOOKUP($K27,waveData!$K$3:$Z$11,13,FALSE)</f>
        <v>0.50729999999999997</v>
      </c>
      <c r="AK27" s="62">
        <f>VLOOKUP($K27,waveData!$K$3:$Z$11,14,FALSE)</f>
        <v>4.3</v>
      </c>
      <c r="AL27" s="62" t="str">
        <f>VLOOKUP($K27,waveData!$K$3:$Z$11,15,FALSE)</f>
        <v xml:space="preserve"> </v>
      </c>
      <c r="AM27" s="62">
        <f>VLOOKUP($K27,waveData!$K$3:$Z$11,16,FALSE)</f>
        <v>1000</v>
      </c>
    </row>
    <row r="28" spans="1:39" x14ac:dyDescent="0.25">
      <c r="A28" t="s">
        <v>557</v>
      </c>
      <c r="B28" s="62" t="str">
        <f t="shared" si="0"/>
        <v>1219053300</v>
      </c>
      <c r="C28" s="62">
        <v>2017</v>
      </c>
      <c r="D28" s="62">
        <v>12</v>
      </c>
      <c r="E28" s="62">
        <f t="shared" si="1"/>
        <v>19</v>
      </c>
      <c r="F28" s="147">
        <f t="shared" si="2"/>
        <v>5</v>
      </c>
      <c r="G28" s="147">
        <f t="shared" si="3"/>
        <v>17</v>
      </c>
      <c r="H28" s="147">
        <f t="shared" si="4"/>
        <v>33</v>
      </c>
      <c r="I28" s="147">
        <f t="shared" si="5"/>
        <v>0</v>
      </c>
      <c r="J28" s="62" t="str">
        <f t="shared" si="7"/>
        <v>2017-12-19-17:33:00-04</v>
      </c>
      <c r="K28">
        <v>4</v>
      </c>
      <c r="L28">
        <v>350</v>
      </c>
      <c r="M28">
        <v>964</v>
      </c>
      <c r="N28" s="150">
        <v>3.3242729999999998</v>
      </c>
      <c r="O28" s="150">
        <v>4.7633970000000003</v>
      </c>
      <c r="P28" s="150">
        <v>0.4466387</v>
      </c>
      <c r="Q28" s="150">
        <v>1.7358420000000001</v>
      </c>
      <c r="R28" s="150">
        <v>-5.912147</v>
      </c>
      <c r="S28" s="150">
        <v>7.0150990000000002</v>
      </c>
      <c r="T28" s="150">
        <v>-5.956769E-2</v>
      </c>
      <c r="U28" s="150">
        <v>-5.956769E-2</v>
      </c>
      <c r="V28" s="150">
        <v>121.77589999999999</v>
      </c>
      <c r="W28" s="62">
        <f>VLOOKUP(L28,Sheet3!$E$1:$H$20,4,FALSE)</f>
        <v>12</v>
      </c>
      <c r="X28" s="62" t="str">
        <f t="shared" si="6"/>
        <v>Power Performance</v>
      </c>
      <c r="Y28" s="62" t="str">
        <f>VLOOKUP($K28,waveData!$K$3:$Z$11,2,FALSE)</f>
        <v>polychromatic long-crested head-on</v>
      </c>
      <c r="Z28" s="62" t="str">
        <f>VLOOKUP($K28,waveData!$K$3:$Z$11,3,FALSE)</f>
        <v>Bretschneider Spectrum</v>
      </c>
      <c r="AA28" s="62">
        <f>VLOOKUP($K28,waveData!$K$3:$Z$11,4,FALSE)</f>
        <v>0.13969999999999999</v>
      </c>
      <c r="AB28" s="62">
        <f>VLOOKUP($K28,waveData!$K$3:$Z$11,5,FALSE)</f>
        <v>1.9878</v>
      </c>
      <c r="AC28" s="62" t="str">
        <f>VLOOKUP($K28,waveData!$K$3:$Z$11,6,FALSE)</f>
        <v xml:space="preserve"> </v>
      </c>
      <c r="AD28" s="62">
        <f>VLOOKUP($K28,waveData!$K$3:$Z$11,7,FALSE)</f>
        <v>3.32E-2</v>
      </c>
      <c r="AE28" s="62">
        <f>VLOOKUP($K28,waveData!$K$3:$Z$11,8,FALSE)</f>
        <v>0</v>
      </c>
      <c r="AF28" s="62" t="str">
        <f>VLOOKUP($K28,waveData!$K$3:$Z$11,9,FALSE)</f>
        <v xml:space="preserve"> </v>
      </c>
      <c r="AG28" s="62" t="str">
        <f>VLOOKUP($K28,waveData!$K$3:$Z$11,10,FALSE)</f>
        <v xml:space="preserve"> </v>
      </c>
      <c r="AH28" s="62">
        <f>VLOOKUP($K28,waveData!$K$3:$Z$11,11,FALSE)</f>
        <v>15.3545</v>
      </c>
      <c r="AI28" s="62">
        <f>VLOOKUP($K28,waveData!$K$3:$Z$11,12,FALSE)</f>
        <v>1.6426000000000001</v>
      </c>
      <c r="AJ28" s="62">
        <f>VLOOKUP($K28,waveData!$K$3:$Z$11,13,FALSE)</f>
        <v>0.50729999999999997</v>
      </c>
      <c r="AK28" s="62">
        <f>VLOOKUP($K28,waveData!$K$3:$Z$11,14,FALSE)</f>
        <v>4.3</v>
      </c>
      <c r="AL28" s="62" t="str">
        <f>VLOOKUP($K28,waveData!$K$3:$Z$11,15,FALSE)</f>
        <v xml:space="preserve"> </v>
      </c>
      <c r="AM28" s="62">
        <f>VLOOKUP($K28,waveData!$K$3:$Z$11,16,FALSE)</f>
        <v>1000</v>
      </c>
    </row>
    <row r="29" spans="1:39" x14ac:dyDescent="0.25">
      <c r="A29" t="s">
        <v>558</v>
      </c>
      <c r="B29" s="62" t="str">
        <f t="shared" si="0"/>
        <v>1220121834</v>
      </c>
      <c r="C29" s="62">
        <v>2017</v>
      </c>
      <c r="D29" s="62">
        <v>12</v>
      </c>
      <c r="E29" s="62">
        <f t="shared" si="1"/>
        <v>20</v>
      </c>
      <c r="F29" s="147">
        <f t="shared" si="2"/>
        <v>12</v>
      </c>
      <c r="G29" s="147">
        <f t="shared" si="3"/>
        <v>12</v>
      </c>
      <c r="H29" s="147">
        <f t="shared" si="4"/>
        <v>18</v>
      </c>
      <c r="I29" s="147">
        <f t="shared" si="5"/>
        <v>34</v>
      </c>
      <c r="J29" s="62" t="str">
        <f t="shared" si="7"/>
        <v>2017-12-20-12:18:34-04</v>
      </c>
      <c r="K29">
        <v>5</v>
      </c>
      <c r="L29">
        <v>300</v>
      </c>
      <c r="M29">
        <v>964</v>
      </c>
      <c r="N29" s="150">
        <v>3.8428680000000002</v>
      </c>
      <c r="O29" s="150">
        <v>5.5707129999999996</v>
      </c>
      <c r="P29" s="150">
        <v>0.39627079999999998</v>
      </c>
      <c r="Q29" s="150">
        <v>2.4956749999999999</v>
      </c>
      <c r="R29" s="150">
        <v>-7.8002200000000004</v>
      </c>
      <c r="S29" s="150">
        <v>9.8999760000000006</v>
      </c>
      <c r="T29" s="150">
        <v>-3.8766630000000003E-2</v>
      </c>
      <c r="U29" s="150">
        <v>-3.8766630000000003E-2</v>
      </c>
      <c r="V29" s="150">
        <v>130.05699999999999</v>
      </c>
      <c r="W29" s="62">
        <f>VLOOKUP(L29,Sheet3!$E$1:$H$20,4,FALSE)</f>
        <v>10</v>
      </c>
      <c r="X29" s="62" t="str">
        <f t="shared" si="6"/>
        <v>Power Performance</v>
      </c>
      <c r="Y29" s="62" t="str">
        <f>VLOOKUP($K29,waveData!$K$3:$Z$11,2,FALSE)</f>
        <v>polychromatic long-crested head-on</v>
      </c>
      <c r="Z29" s="62" t="str">
        <f>VLOOKUP($K29,waveData!$K$3:$Z$11,3,FALSE)</f>
        <v>Bretschneider Spectrum</v>
      </c>
      <c r="AA29" s="62">
        <f>VLOOKUP($K29,waveData!$K$3:$Z$11,4,FALSE)</f>
        <v>0.14710000000000001</v>
      </c>
      <c r="AB29" s="62">
        <f>VLOOKUP($K29,waveData!$K$3:$Z$11,5,FALSE)</f>
        <v>2.6861999999999999</v>
      </c>
      <c r="AC29" s="62" t="str">
        <f>VLOOKUP($K29,waveData!$K$3:$Z$11,6,FALSE)</f>
        <v xml:space="preserve"> </v>
      </c>
      <c r="AD29" s="62">
        <f>VLOOKUP($K29,waveData!$K$3:$Z$11,7,FALSE)</f>
        <v>1.5699999999999999E-2</v>
      </c>
      <c r="AE29" s="62">
        <f>VLOOKUP($K29,waveData!$K$3:$Z$11,8,FALSE)</f>
        <v>0</v>
      </c>
      <c r="AF29" s="62" t="str">
        <f>VLOOKUP($K29,waveData!$K$3:$Z$11,9,FALSE)</f>
        <v xml:space="preserve"> </v>
      </c>
      <c r="AG29" s="62" t="str">
        <f>VLOOKUP($K29,waveData!$K$3:$Z$11,10,FALSE)</f>
        <v xml:space="preserve"> </v>
      </c>
      <c r="AH29" s="62">
        <f>VLOOKUP($K29,waveData!$K$3:$Z$11,11,FALSE)</f>
        <v>27.0061</v>
      </c>
      <c r="AI29" s="62">
        <f>VLOOKUP($K29,waveData!$K$3:$Z$11,12,FALSE)</f>
        <v>2.4605000000000001</v>
      </c>
      <c r="AJ29" s="62">
        <f>VLOOKUP($K29,waveData!$K$3:$Z$11,13,FALSE)</f>
        <v>0.48</v>
      </c>
      <c r="AK29" s="62">
        <f>VLOOKUP($K29,waveData!$K$3:$Z$11,14,FALSE)</f>
        <v>4.3</v>
      </c>
      <c r="AL29" s="62" t="str">
        <f>VLOOKUP($K29,waveData!$K$3:$Z$11,15,FALSE)</f>
        <v xml:space="preserve"> </v>
      </c>
      <c r="AM29" s="62">
        <f>VLOOKUP($K29,waveData!$K$3:$Z$11,16,FALSE)</f>
        <v>1000</v>
      </c>
    </row>
    <row r="30" spans="1:39" x14ac:dyDescent="0.25">
      <c r="A30" t="s">
        <v>559</v>
      </c>
      <c r="B30" s="62" t="str">
        <f t="shared" si="0"/>
        <v>1220115912</v>
      </c>
      <c r="C30" s="62">
        <v>2017</v>
      </c>
      <c r="D30" s="62">
        <v>12</v>
      </c>
      <c r="E30" s="62">
        <f t="shared" si="1"/>
        <v>20</v>
      </c>
      <c r="F30" s="147">
        <f t="shared" si="2"/>
        <v>11</v>
      </c>
      <c r="G30" s="147">
        <f t="shared" si="3"/>
        <v>11</v>
      </c>
      <c r="H30" s="147">
        <f t="shared" si="4"/>
        <v>59</v>
      </c>
      <c r="I30" s="147">
        <f t="shared" si="5"/>
        <v>12</v>
      </c>
      <c r="J30" s="62" t="str">
        <f t="shared" si="7"/>
        <v>2017-12-20-11:59:12-04</v>
      </c>
      <c r="K30">
        <v>5</v>
      </c>
      <c r="L30">
        <v>375</v>
      </c>
      <c r="M30">
        <v>964</v>
      </c>
      <c r="N30" s="150">
        <v>3.948232</v>
      </c>
      <c r="O30" s="150">
        <v>5.6905060000000001</v>
      </c>
      <c r="P30" s="150">
        <v>0.59680480000000002</v>
      </c>
      <c r="Q30" s="150">
        <v>2.2905120000000001</v>
      </c>
      <c r="R30" s="150">
        <v>-6.9807600000000001</v>
      </c>
      <c r="S30" s="150">
        <v>9.1569350000000007</v>
      </c>
      <c r="T30" s="150">
        <v>-0.41628720000000002</v>
      </c>
      <c r="U30" s="150">
        <v>-0.41628720000000002</v>
      </c>
      <c r="V30" s="150">
        <v>148.3116</v>
      </c>
      <c r="W30" s="62">
        <f>VLOOKUP(L30,Sheet3!$E$1:$H$20,4,FALSE)</f>
        <v>13</v>
      </c>
      <c r="X30" s="62" t="str">
        <f t="shared" si="6"/>
        <v>Power Performance</v>
      </c>
      <c r="Y30" s="62" t="str">
        <f>VLOOKUP($K30,waveData!$K$3:$Z$11,2,FALSE)</f>
        <v>polychromatic long-crested head-on</v>
      </c>
      <c r="Z30" s="62" t="str">
        <f>VLOOKUP($K30,waveData!$K$3:$Z$11,3,FALSE)</f>
        <v>Bretschneider Spectrum</v>
      </c>
      <c r="AA30" s="62">
        <f>VLOOKUP($K30,waveData!$K$3:$Z$11,4,FALSE)</f>
        <v>0.14710000000000001</v>
      </c>
      <c r="AB30" s="62">
        <f>VLOOKUP($K30,waveData!$K$3:$Z$11,5,FALSE)</f>
        <v>2.6861999999999999</v>
      </c>
      <c r="AC30" s="62" t="str">
        <f>VLOOKUP($K30,waveData!$K$3:$Z$11,6,FALSE)</f>
        <v xml:space="preserve"> </v>
      </c>
      <c r="AD30" s="62">
        <f>VLOOKUP($K30,waveData!$K$3:$Z$11,7,FALSE)</f>
        <v>1.5699999999999999E-2</v>
      </c>
      <c r="AE30" s="62">
        <f>VLOOKUP($K30,waveData!$K$3:$Z$11,8,FALSE)</f>
        <v>0</v>
      </c>
      <c r="AF30" s="62" t="str">
        <f>VLOOKUP($K30,waveData!$K$3:$Z$11,9,FALSE)</f>
        <v xml:space="preserve"> </v>
      </c>
      <c r="AG30" s="62" t="str">
        <f>VLOOKUP($K30,waveData!$K$3:$Z$11,10,FALSE)</f>
        <v xml:space="preserve"> </v>
      </c>
      <c r="AH30" s="62">
        <f>VLOOKUP($K30,waveData!$K$3:$Z$11,11,FALSE)</f>
        <v>27.0061</v>
      </c>
      <c r="AI30" s="62">
        <f>VLOOKUP($K30,waveData!$K$3:$Z$11,12,FALSE)</f>
        <v>2.4605000000000001</v>
      </c>
      <c r="AJ30" s="62">
        <f>VLOOKUP($K30,waveData!$K$3:$Z$11,13,FALSE)</f>
        <v>0.48</v>
      </c>
      <c r="AK30" s="62">
        <f>VLOOKUP($K30,waveData!$K$3:$Z$11,14,FALSE)</f>
        <v>4.3</v>
      </c>
      <c r="AL30" s="62" t="str">
        <f>VLOOKUP($K30,waveData!$K$3:$Z$11,15,FALSE)</f>
        <v xml:space="preserve"> </v>
      </c>
      <c r="AM30" s="62">
        <f>VLOOKUP($K30,waveData!$K$3:$Z$11,16,FALSE)</f>
        <v>1000</v>
      </c>
    </row>
    <row r="31" spans="1:39" x14ac:dyDescent="0.25">
      <c r="A31" t="s">
        <v>560</v>
      </c>
      <c r="B31" s="62" t="str">
        <f t="shared" si="0"/>
        <v>1220111998</v>
      </c>
      <c r="C31" s="62">
        <v>2017</v>
      </c>
      <c r="D31" s="62">
        <v>12</v>
      </c>
      <c r="E31" s="62">
        <f t="shared" si="1"/>
        <v>20</v>
      </c>
      <c r="F31" s="147">
        <f t="shared" si="2"/>
        <v>11</v>
      </c>
      <c r="G31" s="147">
        <f t="shared" si="3"/>
        <v>11</v>
      </c>
      <c r="H31" s="147">
        <f t="shared" si="4"/>
        <v>19</v>
      </c>
      <c r="I31" s="147">
        <f t="shared" si="5"/>
        <v>98</v>
      </c>
      <c r="J31" s="62" t="str">
        <f t="shared" si="7"/>
        <v>2017-12-20-11:19:98-04</v>
      </c>
      <c r="K31">
        <v>5</v>
      </c>
      <c r="L31">
        <v>550</v>
      </c>
      <c r="M31">
        <v>964</v>
      </c>
      <c r="N31" s="150">
        <v>3.9259189999999999</v>
      </c>
      <c r="O31" s="150">
        <v>5.6085520000000004</v>
      </c>
      <c r="P31" s="150">
        <v>0.19761770000000001</v>
      </c>
      <c r="Q31" s="150">
        <v>2.1140310000000002</v>
      </c>
      <c r="R31" s="150">
        <v>-6.8915839999999999</v>
      </c>
      <c r="S31" s="150">
        <v>8.0864440000000002</v>
      </c>
      <c r="T31" s="150">
        <v>-0.24567620000000001</v>
      </c>
      <c r="U31" s="150">
        <v>-0.24567620000000001</v>
      </c>
      <c r="V31" s="150">
        <v>158.15469999999999</v>
      </c>
      <c r="W31" s="62">
        <f>VLOOKUP(L31,Sheet3!$E$1:$H$20,4,FALSE)</f>
        <v>19</v>
      </c>
      <c r="X31" s="62" t="str">
        <f t="shared" si="6"/>
        <v>Power Performance</v>
      </c>
      <c r="Y31" s="62" t="str">
        <f>VLOOKUP($K31,waveData!$K$3:$Z$11,2,FALSE)</f>
        <v>polychromatic long-crested head-on</v>
      </c>
      <c r="Z31" s="62" t="str">
        <f>VLOOKUP($K31,waveData!$K$3:$Z$11,3,FALSE)</f>
        <v>Bretschneider Spectrum</v>
      </c>
      <c r="AA31" s="62">
        <f>VLOOKUP($K31,waveData!$K$3:$Z$11,4,FALSE)</f>
        <v>0.14710000000000001</v>
      </c>
      <c r="AB31" s="62">
        <f>VLOOKUP($K31,waveData!$K$3:$Z$11,5,FALSE)</f>
        <v>2.6861999999999999</v>
      </c>
      <c r="AC31" s="62" t="str">
        <f>VLOOKUP($K31,waveData!$K$3:$Z$11,6,FALSE)</f>
        <v xml:space="preserve"> </v>
      </c>
      <c r="AD31" s="62">
        <f>VLOOKUP($K31,waveData!$K$3:$Z$11,7,FALSE)</f>
        <v>1.5699999999999999E-2</v>
      </c>
      <c r="AE31" s="62">
        <f>VLOOKUP($K31,waveData!$K$3:$Z$11,8,FALSE)</f>
        <v>0</v>
      </c>
      <c r="AF31" s="62" t="str">
        <f>VLOOKUP($K31,waveData!$K$3:$Z$11,9,FALSE)</f>
        <v xml:space="preserve"> </v>
      </c>
      <c r="AG31" s="62" t="str">
        <f>VLOOKUP($K31,waveData!$K$3:$Z$11,10,FALSE)</f>
        <v xml:space="preserve"> </v>
      </c>
      <c r="AH31" s="62">
        <f>VLOOKUP($K31,waveData!$K$3:$Z$11,11,FALSE)</f>
        <v>27.0061</v>
      </c>
      <c r="AI31" s="62">
        <f>VLOOKUP($K31,waveData!$K$3:$Z$11,12,FALSE)</f>
        <v>2.4605000000000001</v>
      </c>
      <c r="AJ31" s="62">
        <f>VLOOKUP($K31,waveData!$K$3:$Z$11,13,FALSE)</f>
        <v>0.48</v>
      </c>
      <c r="AK31" s="62">
        <f>VLOOKUP($K31,waveData!$K$3:$Z$11,14,FALSE)</f>
        <v>4.3</v>
      </c>
      <c r="AL31" s="62" t="str">
        <f>VLOOKUP($K31,waveData!$K$3:$Z$11,15,FALSE)</f>
        <v xml:space="preserve"> </v>
      </c>
      <c r="AM31" s="62">
        <f>VLOOKUP($K31,waveData!$K$3:$Z$11,16,FALSE)</f>
        <v>1000</v>
      </c>
    </row>
    <row r="32" spans="1:39" x14ac:dyDescent="0.25">
      <c r="A32" t="s">
        <v>561</v>
      </c>
      <c r="B32" s="62" t="str">
        <f t="shared" si="0"/>
        <v>1220113928</v>
      </c>
      <c r="C32" s="62">
        <v>2017</v>
      </c>
      <c r="D32" s="62">
        <v>12</v>
      </c>
      <c r="E32" s="62">
        <f t="shared" si="1"/>
        <v>20</v>
      </c>
      <c r="F32" s="147">
        <f t="shared" si="2"/>
        <v>11</v>
      </c>
      <c r="G32" s="147">
        <f t="shared" si="3"/>
        <v>11</v>
      </c>
      <c r="H32" s="147">
        <f t="shared" si="4"/>
        <v>39</v>
      </c>
      <c r="I32" s="147">
        <f t="shared" si="5"/>
        <v>28</v>
      </c>
      <c r="J32" s="62" t="str">
        <f t="shared" si="7"/>
        <v>2017-12-20-11:39:28-04</v>
      </c>
      <c r="K32">
        <v>5</v>
      </c>
      <c r="L32">
        <v>550</v>
      </c>
      <c r="M32">
        <v>964</v>
      </c>
      <c r="N32" s="150">
        <v>3.8565100000000001</v>
      </c>
      <c r="O32" s="150">
        <v>5.4434750000000003</v>
      </c>
      <c r="P32" s="150">
        <v>0.5532937</v>
      </c>
      <c r="Q32" s="150">
        <v>1.9094580000000001</v>
      </c>
      <c r="R32" s="150">
        <v>-5.7281329999999997</v>
      </c>
      <c r="S32" s="150">
        <v>7.6629800000000001</v>
      </c>
      <c r="T32" s="150">
        <v>-8.9168730000000002E-2</v>
      </c>
      <c r="U32" s="150">
        <v>-8.9168730000000002E-2</v>
      </c>
      <c r="V32" s="150">
        <v>166.86689999999999</v>
      </c>
      <c r="W32" s="62">
        <f>VLOOKUP(L32,Sheet3!$E$1:$H$20,4,FALSE)</f>
        <v>19</v>
      </c>
      <c r="X32" s="62" t="str">
        <f t="shared" si="6"/>
        <v>Power Performance</v>
      </c>
      <c r="Y32" s="62" t="str">
        <f>VLOOKUP($K32,waveData!$K$3:$Z$11,2,FALSE)</f>
        <v>polychromatic long-crested head-on</v>
      </c>
      <c r="Z32" s="62" t="str">
        <f>VLOOKUP($K32,waveData!$K$3:$Z$11,3,FALSE)</f>
        <v>Bretschneider Spectrum</v>
      </c>
      <c r="AA32" s="62">
        <f>VLOOKUP($K32,waveData!$K$3:$Z$11,4,FALSE)</f>
        <v>0.14710000000000001</v>
      </c>
      <c r="AB32" s="62">
        <f>VLOOKUP($K32,waveData!$K$3:$Z$11,5,FALSE)</f>
        <v>2.6861999999999999</v>
      </c>
      <c r="AC32" s="62" t="str">
        <f>VLOOKUP($K32,waveData!$K$3:$Z$11,6,FALSE)</f>
        <v xml:space="preserve"> </v>
      </c>
      <c r="AD32" s="62">
        <f>VLOOKUP($K32,waveData!$K$3:$Z$11,7,FALSE)</f>
        <v>1.5699999999999999E-2</v>
      </c>
      <c r="AE32" s="62">
        <f>VLOOKUP($K32,waveData!$K$3:$Z$11,8,FALSE)</f>
        <v>0</v>
      </c>
      <c r="AF32" s="62" t="str">
        <f>VLOOKUP($K32,waveData!$K$3:$Z$11,9,FALSE)</f>
        <v xml:space="preserve"> </v>
      </c>
      <c r="AG32" s="62" t="str">
        <f>VLOOKUP($K32,waveData!$K$3:$Z$11,10,FALSE)</f>
        <v xml:space="preserve"> </v>
      </c>
      <c r="AH32" s="62">
        <f>VLOOKUP($K32,waveData!$K$3:$Z$11,11,FALSE)</f>
        <v>27.0061</v>
      </c>
      <c r="AI32" s="62">
        <f>VLOOKUP($K32,waveData!$K$3:$Z$11,12,FALSE)</f>
        <v>2.4605000000000001</v>
      </c>
      <c r="AJ32" s="62">
        <f>VLOOKUP($K32,waveData!$K$3:$Z$11,13,FALSE)</f>
        <v>0.48</v>
      </c>
      <c r="AK32" s="62">
        <f>VLOOKUP($K32,waveData!$K$3:$Z$11,14,FALSE)</f>
        <v>4.3</v>
      </c>
      <c r="AL32" s="62" t="str">
        <f>VLOOKUP($K32,waveData!$K$3:$Z$11,15,FALSE)</f>
        <v xml:space="preserve"> </v>
      </c>
      <c r="AM32" s="62">
        <f>VLOOKUP($K32,waveData!$K$3:$Z$11,16,FALSE)</f>
        <v>1000</v>
      </c>
    </row>
    <row r="33" spans="1:39" x14ac:dyDescent="0.25">
      <c r="A33" t="s">
        <v>562</v>
      </c>
      <c r="B33" s="62" t="str">
        <f t="shared" si="0"/>
        <v>1220014068</v>
      </c>
      <c r="C33" s="62">
        <v>2017</v>
      </c>
      <c r="D33" s="62">
        <v>12</v>
      </c>
      <c r="E33" s="62">
        <f t="shared" si="1"/>
        <v>20</v>
      </c>
      <c r="F33" s="147">
        <f t="shared" si="2"/>
        <v>1</v>
      </c>
      <c r="G33" s="147">
        <f t="shared" si="3"/>
        <v>13</v>
      </c>
      <c r="H33" s="147">
        <f t="shared" si="4"/>
        <v>40</v>
      </c>
      <c r="I33" s="147">
        <f t="shared" si="5"/>
        <v>68</v>
      </c>
      <c r="J33" s="62" t="str">
        <f t="shared" si="7"/>
        <v>2017-12-20-13:40:68-04</v>
      </c>
      <c r="K33">
        <v>6</v>
      </c>
      <c r="L33">
        <v>150</v>
      </c>
      <c r="M33">
        <v>964</v>
      </c>
      <c r="N33" s="150">
        <v>8.4417500000000008</v>
      </c>
      <c r="O33" s="150">
        <v>11.881930000000001</v>
      </c>
      <c r="P33" s="150">
        <v>0.89432089999999997</v>
      </c>
      <c r="Q33" s="150">
        <v>4.2780570000000004</v>
      </c>
      <c r="R33" s="150">
        <v>-14.02422</v>
      </c>
      <c r="S33" s="150">
        <v>16.13936</v>
      </c>
      <c r="T33" s="150">
        <v>8.1494670000000005E-2</v>
      </c>
      <c r="U33" s="150">
        <v>8.1494670000000005E-2</v>
      </c>
      <c r="V33" s="150">
        <v>130.2765</v>
      </c>
      <c r="W33" s="62">
        <f>VLOOKUP(L33,Sheet3!$E$1:$H$20,4,FALSE)</f>
        <v>4</v>
      </c>
      <c r="X33" s="62" t="str">
        <f t="shared" si="6"/>
        <v>Power Performance</v>
      </c>
      <c r="Y33" s="62" t="str">
        <f>VLOOKUP($K33,waveData!$K$3:$Z$11,2,FALSE)</f>
        <v>polychromatic long-crested head-on</v>
      </c>
      <c r="Z33" s="62" t="str">
        <f>VLOOKUP($K33,waveData!$K$3:$Z$11,3,FALSE)</f>
        <v>Bretschneider Spectrum</v>
      </c>
      <c r="AA33" s="62">
        <f>VLOOKUP($K33,waveData!$K$3:$Z$11,4,FALSE)</f>
        <v>0.20780000000000001</v>
      </c>
      <c r="AB33" s="62">
        <f>VLOOKUP($K33,waveData!$K$3:$Z$11,5,FALSE)</f>
        <v>2.0706000000000002</v>
      </c>
      <c r="AC33" s="62" t="str">
        <f>VLOOKUP($K33,waveData!$K$3:$Z$11,6,FALSE)</f>
        <v xml:space="preserve"> </v>
      </c>
      <c r="AD33" s="62">
        <f>VLOOKUP($K33,waveData!$K$3:$Z$11,7,FALSE)</f>
        <v>3.9399999999999998E-2</v>
      </c>
      <c r="AE33" s="62">
        <f>VLOOKUP($K33,waveData!$K$3:$Z$11,8,FALSE)</f>
        <v>0</v>
      </c>
      <c r="AF33" s="62" t="str">
        <f>VLOOKUP($K33,waveData!$K$3:$Z$11,9,FALSE)</f>
        <v xml:space="preserve"> </v>
      </c>
      <c r="AG33" s="62" t="str">
        <f>VLOOKUP($K33,waveData!$K$3:$Z$11,10,FALSE)</f>
        <v xml:space="preserve"> </v>
      </c>
      <c r="AH33" s="62">
        <f>VLOOKUP($K33,waveData!$K$3:$Z$11,11,FALSE)</f>
        <v>38.299300000000002</v>
      </c>
      <c r="AI33" s="62">
        <f>VLOOKUP($K33,waveData!$K$3:$Z$11,12,FALSE)</f>
        <v>1.8373999999999999</v>
      </c>
      <c r="AJ33" s="62">
        <f>VLOOKUP($K33,waveData!$K$3:$Z$11,13,FALSE)</f>
        <v>0.47899999999999998</v>
      </c>
      <c r="AK33" s="62">
        <f>VLOOKUP($K33,waveData!$K$3:$Z$11,14,FALSE)</f>
        <v>4.3</v>
      </c>
      <c r="AL33" s="62" t="str">
        <f>VLOOKUP($K33,waveData!$K$3:$Z$11,15,FALSE)</f>
        <v xml:space="preserve"> </v>
      </c>
      <c r="AM33" s="62">
        <f>VLOOKUP($K33,waveData!$K$3:$Z$11,16,FALSE)</f>
        <v>1000</v>
      </c>
    </row>
    <row r="34" spans="1:39" x14ac:dyDescent="0.25">
      <c r="A34" t="s">
        <v>563</v>
      </c>
      <c r="B34" s="62" t="str">
        <f t="shared" si="0"/>
        <v>1220124369</v>
      </c>
      <c r="C34" s="62">
        <v>2017</v>
      </c>
      <c r="D34" s="62">
        <v>12</v>
      </c>
      <c r="E34" s="62">
        <f t="shared" si="1"/>
        <v>20</v>
      </c>
      <c r="F34" s="147">
        <f t="shared" si="2"/>
        <v>12</v>
      </c>
      <c r="G34" s="147">
        <f t="shared" si="3"/>
        <v>12</v>
      </c>
      <c r="H34" s="147">
        <f t="shared" si="4"/>
        <v>43</v>
      </c>
      <c r="I34" s="147">
        <f t="shared" si="5"/>
        <v>69</v>
      </c>
      <c r="J34" s="62" t="str">
        <f t="shared" si="7"/>
        <v>2017-12-20-12:43:69-04</v>
      </c>
      <c r="K34">
        <v>6</v>
      </c>
      <c r="L34">
        <v>200</v>
      </c>
      <c r="M34">
        <v>964</v>
      </c>
      <c r="N34" s="150">
        <v>8.3892290000000003</v>
      </c>
      <c r="O34" s="150">
        <v>11.69464</v>
      </c>
      <c r="P34" s="150">
        <v>0.99382309999999996</v>
      </c>
      <c r="Q34" s="150">
        <v>3.8222049999999999</v>
      </c>
      <c r="R34" s="150">
        <v>-12.283340000000001</v>
      </c>
      <c r="S34" s="150">
        <v>14.681990000000001</v>
      </c>
      <c r="T34" s="150">
        <v>0.16548019999999999</v>
      </c>
      <c r="U34" s="150">
        <v>0.16548019999999999</v>
      </c>
      <c r="V34" s="150">
        <v>149.71549999999999</v>
      </c>
      <c r="W34" s="62">
        <f>VLOOKUP(L34,Sheet3!$E$1:$H$20,4,FALSE)</f>
        <v>5</v>
      </c>
      <c r="X34" s="62" t="str">
        <f t="shared" si="6"/>
        <v>Power Performance</v>
      </c>
      <c r="Y34" s="62" t="str">
        <f>VLOOKUP($K34,waveData!$K$3:$Z$11,2,FALSE)</f>
        <v>polychromatic long-crested head-on</v>
      </c>
      <c r="Z34" s="62" t="str">
        <f>VLOOKUP($K34,waveData!$K$3:$Z$11,3,FALSE)</f>
        <v>Bretschneider Spectrum</v>
      </c>
      <c r="AA34" s="62">
        <f>VLOOKUP($K34,waveData!$K$3:$Z$11,4,FALSE)</f>
        <v>0.20780000000000001</v>
      </c>
      <c r="AB34" s="62">
        <f>VLOOKUP($K34,waveData!$K$3:$Z$11,5,FALSE)</f>
        <v>2.0706000000000002</v>
      </c>
      <c r="AC34" s="62" t="str">
        <f>VLOOKUP($K34,waveData!$K$3:$Z$11,6,FALSE)</f>
        <v xml:space="preserve"> </v>
      </c>
      <c r="AD34" s="62">
        <f>VLOOKUP($K34,waveData!$K$3:$Z$11,7,FALSE)</f>
        <v>3.9399999999999998E-2</v>
      </c>
      <c r="AE34" s="62">
        <f>VLOOKUP($K34,waveData!$K$3:$Z$11,8,FALSE)</f>
        <v>0</v>
      </c>
      <c r="AF34" s="62" t="str">
        <f>VLOOKUP($K34,waveData!$K$3:$Z$11,9,FALSE)</f>
        <v xml:space="preserve"> </v>
      </c>
      <c r="AG34" s="62" t="str">
        <f>VLOOKUP($K34,waveData!$K$3:$Z$11,10,FALSE)</f>
        <v xml:space="preserve"> </v>
      </c>
      <c r="AH34" s="62">
        <f>VLOOKUP($K34,waveData!$K$3:$Z$11,11,FALSE)</f>
        <v>38.299300000000002</v>
      </c>
      <c r="AI34" s="62">
        <f>VLOOKUP($K34,waveData!$K$3:$Z$11,12,FALSE)</f>
        <v>1.8373999999999999</v>
      </c>
      <c r="AJ34" s="62">
        <f>VLOOKUP($K34,waveData!$K$3:$Z$11,13,FALSE)</f>
        <v>0.47899999999999998</v>
      </c>
      <c r="AK34" s="62">
        <f>VLOOKUP($K34,waveData!$K$3:$Z$11,14,FALSE)</f>
        <v>4.3</v>
      </c>
      <c r="AL34" s="62" t="str">
        <f>VLOOKUP($K34,waveData!$K$3:$Z$11,15,FALSE)</f>
        <v xml:space="preserve"> </v>
      </c>
      <c r="AM34" s="62">
        <f>VLOOKUP($K34,waveData!$K$3:$Z$11,16,FALSE)</f>
        <v>1000</v>
      </c>
    </row>
    <row r="35" spans="1:39" x14ac:dyDescent="0.25">
      <c r="A35" t="s">
        <v>564</v>
      </c>
      <c r="B35" s="62" t="str">
        <f t="shared" si="0"/>
        <v>1220010773</v>
      </c>
      <c r="C35" s="62">
        <v>2017</v>
      </c>
      <c r="D35" s="62">
        <v>12</v>
      </c>
      <c r="E35" s="62">
        <f t="shared" si="1"/>
        <v>20</v>
      </c>
      <c r="F35" s="147">
        <f t="shared" si="2"/>
        <v>1</v>
      </c>
      <c r="G35" s="147">
        <f t="shared" si="3"/>
        <v>13</v>
      </c>
      <c r="H35" s="147">
        <f t="shared" si="4"/>
        <v>7</v>
      </c>
      <c r="I35" s="147">
        <f t="shared" si="5"/>
        <v>73</v>
      </c>
      <c r="J35" s="62" t="str">
        <f t="shared" si="7"/>
        <v>2017-12-20-13:07:73-04</v>
      </c>
      <c r="K35">
        <v>6</v>
      </c>
      <c r="L35">
        <v>350</v>
      </c>
      <c r="M35">
        <v>964</v>
      </c>
      <c r="N35" s="150">
        <v>7.6809089999999998</v>
      </c>
      <c r="O35" s="150">
        <v>10.36631</v>
      </c>
      <c r="P35" s="150">
        <v>1.6268860000000001</v>
      </c>
      <c r="Q35" s="150">
        <v>2.9303669999999999</v>
      </c>
      <c r="R35" s="150">
        <v>-7.9912939999999999</v>
      </c>
      <c r="S35" s="150">
        <v>12.064859999999999</v>
      </c>
      <c r="T35" s="150">
        <v>-0.24375820000000001</v>
      </c>
      <c r="U35" s="150">
        <v>-0.24375820000000001</v>
      </c>
      <c r="V35" s="150">
        <v>191.7662</v>
      </c>
      <c r="W35" s="62">
        <f>VLOOKUP(L35,Sheet3!$E$1:$H$20,4,FALSE)</f>
        <v>12</v>
      </c>
      <c r="X35" s="62" t="str">
        <f t="shared" si="6"/>
        <v>Power Performance</v>
      </c>
      <c r="Y35" s="62" t="str">
        <f>VLOOKUP($K35,waveData!$K$3:$Z$11,2,FALSE)</f>
        <v>polychromatic long-crested head-on</v>
      </c>
      <c r="Z35" s="62" t="str">
        <f>VLOOKUP($K35,waveData!$K$3:$Z$11,3,FALSE)</f>
        <v>Bretschneider Spectrum</v>
      </c>
      <c r="AA35" s="62">
        <f>VLOOKUP($K35,waveData!$K$3:$Z$11,4,FALSE)</f>
        <v>0.20780000000000001</v>
      </c>
      <c r="AB35" s="62">
        <f>VLOOKUP($K35,waveData!$K$3:$Z$11,5,FALSE)</f>
        <v>2.0706000000000002</v>
      </c>
      <c r="AC35" s="62" t="str">
        <f>VLOOKUP($K35,waveData!$K$3:$Z$11,6,FALSE)</f>
        <v xml:space="preserve"> </v>
      </c>
      <c r="AD35" s="62">
        <f>VLOOKUP($K35,waveData!$K$3:$Z$11,7,FALSE)</f>
        <v>3.9399999999999998E-2</v>
      </c>
      <c r="AE35" s="62">
        <f>VLOOKUP($K35,waveData!$K$3:$Z$11,8,FALSE)</f>
        <v>0</v>
      </c>
      <c r="AF35" s="62" t="str">
        <f>VLOOKUP($K35,waveData!$K$3:$Z$11,9,FALSE)</f>
        <v xml:space="preserve"> </v>
      </c>
      <c r="AG35" s="62" t="str">
        <f>VLOOKUP($K35,waveData!$K$3:$Z$11,10,FALSE)</f>
        <v xml:space="preserve"> </v>
      </c>
      <c r="AH35" s="62">
        <f>VLOOKUP($K35,waveData!$K$3:$Z$11,11,FALSE)</f>
        <v>38.299300000000002</v>
      </c>
      <c r="AI35" s="62">
        <f>VLOOKUP($K35,waveData!$K$3:$Z$11,12,FALSE)</f>
        <v>1.8373999999999999</v>
      </c>
      <c r="AJ35" s="62">
        <f>VLOOKUP($K35,waveData!$K$3:$Z$11,13,FALSE)</f>
        <v>0.47899999999999998</v>
      </c>
      <c r="AK35" s="62">
        <f>VLOOKUP($K35,waveData!$K$3:$Z$11,14,FALSE)</f>
        <v>4.3</v>
      </c>
      <c r="AL35" s="62" t="str">
        <f>VLOOKUP($K35,waveData!$K$3:$Z$11,15,FALSE)</f>
        <v xml:space="preserve"> </v>
      </c>
      <c r="AM35" s="62">
        <f>VLOOKUP($K35,waveData!$K$3:$Z$11,16,FALSE)</f>
        <v>1000</v>
      </c>
    </row>
    <row r="36" spans="1:39" x14ac:dyDescent="0.25">
      <c r="A36" t="s">
        <v>565</v>
      </c>
      <c r="B36" s="62" t="str">
        <f t="shared" si="0"/>
        <v>1220024167</v>
      </c>
      <c r="C36" s="62">
        <v>2017</v>
      </c>
      <c r="D36" s="62">
        <v>12</v>
      </c>
      <c r="E36" s="62">
        <f t="shared" si="1"/>
        <v>20</v>
      </c>
      <c r="F36" s="147">
        <f t="shared" si="2"/>
        <v>2</v>
      </c>
      <c r="G36" s="147">
        <f t="shared" si="3"/>
        <v>14</v>
      </c>
      <c r="H36" s="147">
        <f t="shared" si="4"/>
        <v>41</v>
      </c>
      <c r="I36" s="147">
        <f t="shared" si="5"/>
        <v>67</v>
      </c>
      <c r="J36" s="62" t="str">
        <f t="shared" si="7"/>
        <v>2017-12-20-14:41:67-04</v>
      </c>
      <c r="K36">
        <v>7</v>
      </c>
      <c r="L36">
        <v>100</v>
      </c>
      <c r="M36">
        <v>964</v>
      </c>
      <c r="N36" s="150">
        <v>4.0432490000000003</v>
      </c>
      <c r="O36" s="150">
        <v>5.7897189999999998</v>
      </c>
      <c r="P36" s="150">
        <v>0.46960629999999998</v>
      </c>
      <c r="Q36" s="150">
        <v>3.1289039999999999</v>
      </c>
      <c r="R36" s="150">
        <v>-11.10281</v>
      </c>
      <c r="S36" s="150">
        <v>11.846410000000001</v>
      </c>
      <c r="T36" s="150">
        <v>-4.3416450000000002E-2</v>
      </c>
      <c r="U36" s="150">
        <v>-4.3416450000000002E-2</v>
      </c>
      <c r="V36" s="150">
        <v>71.511809999999997</v>
      </c>
      <c r="W36" s="62">
        <f>VLOOKUP(L36,Sheet3!$E$1:$H$20,4,FALSE)</f>
        <v>3</v>
      </c>
      <c r="X36" s="62" t="str">
        <f t="shared" si="6"/>
        <v>Power Performance</v>
      </c>
      <c r="Y36" s="62" t="str">
        <f>VLOOKUP($K36,waveData!$K$3:$Z$11,2,FALSE)</f>
        <v>polychromatic short crested head-on</v>
      </c>
      <c r="Z36" s="62" t="str">
        <f>VLOOKUP($K36,waveData!$K$3:$Z$11,3,FALSE)</f>
        <v>Bretschneider Spectrum</v>
      </c>
      <c r="AA36" s="62">
        <f>VLOOKUP($K36,waveData!$K$3:$Z$11,4,FALSE)</f>
        <v>0.1431</v>
      </c>
      <c r="AB36" s="62">
        <f>VLOOKUP($K36,waveData!$K$3:$Z$11,5,FALSE)</f>
        <v>1.9878</v>
      </c>
      <c r="AC36" s="62" t="str">
        <f>VLOOKUP($K36,waveData!$K$3:$Z$11,6,FALSE)</f>
        <v xml:space="preserve"> </v>
      </c>
      <c r="AD36" s="62">
        <f>VLOOKUP($K36,waveData!$K$3:$Z$11,7,FALSE)</f>
        <v>3.3500000000000002E-2</v>
      </c>
      <c r="AE36" s="62">
        <f>VLOOKUP($K36,waveData!$K$3:$Z$11,8,FALSE)</f>
        <v>0</v>
      </c>
      <c r="AF36" s="62" t="str">
        <f>VLOOKUP($K36,waveData!$K$3:$Z$11,9,FALSE)</f>
        <v>cos2s</v>
      </c>
      <c r="AG36" s="62">
        <f>VLOOKUP($K36,waveData!$K$3:$Z$11,10,FALSE)</f>
        <v>10</v>
      </c>
      <c r="AH36" s="62">
        <f>VLOOKUP($K36,waveData!$K$3:$Z$11,11,FALSE)</f>
        <v>16.154699999999998</v>
      </c>
      <c r="AI36" s="62">
        <f>VLOOKUP($K36,waveData!$K$3:$Z$11,12,FALSE)</f>
        <v>1.6534</v>
      </c>
      <c r="AJ36" s="62">
        <f>VLOOKUP($K36,waveData!$K$3:$Z$11,13,FALSE)</f>
        <v>0.62560000000000004</v>
      </c>
      <c r="AK36" s="62">
        <f>VLOOKUP($K36,waveData!$K$3:$Z$11,14,FALSE)</f>
        <v>4.3</v>
      </c>
      <c r="AL36" s="62" t="str">
        <f>VLOOKUP($K36,waveData!$K$3:$Z$11,15,FALSE)</f>
        <v xml:space="preserve"> </v>
      </c>
      <c r="AM36" s="62">
        <f>VLOOKUP($K36,waveData!$K$3:$Z$11,16,FALSE)</f>
        <v>1000</v>
      </c>
    </row>
    <row r="37" spans="1:39" x14ac:dyDescent="0.25">
      <c r="A37" t="s">
        <v>566</v>
      </c>
      <c r="B37" s="62" t="str">
        <f t="shared" si="0"/>
        <v>1220015984</v>
      </c>
      <c r="C37" s="62">
        <v>2017</v>
      </c>
      <c r="D37" s="62">
        <v>12</v>
      </c>
      <c r="E37" s="62">
        <f t="shared" si="1"/>
        <v>20</v>
      </c>
      <c r="F37" s="147">
        <f t="shared" si="2"/>
        <v>1</v>
      </c>
      <c r="G37" s="147">
        <f t="shared" si="3"/>
        <v>13</v>
      </c>
      <c r="H37" s="147">
        <f t="shared" si="4"/>
        <v>59</v>
      </c>
      <c r="I37" s="147">
        <f t="shared" si="5"/>
        <v>84</v>
      </c>
      <c r="J37" s="62" t="str">
        <f t="shared" si="7"/>
        <v>2017-12-20-13:59:84-04</v>
      </c>
      <c r="K37">
        <v>7</v>
      </c>
      <c r="L37">
        <v>150</v>
      </c>
      <c r="M37">
        <v>964</v>
      </c>
      <c r="N37" s="150">
        <v>4.0916920000000001</v>
      </c>
      <c r="O37" s="150">
        <v>5.8639229999999998</v>
      </c>
      <c r="P37" s="150">
        <v>0.71911950000000002</v>
      </c>
      <c r="Q37" s="150">
        <v>2.6811880000000001</v>
      </c>
      <c r="R37" s="150">
        <v>-9.3034289999999995</v>
      </c>
      <c r="S37" s="150">
        <v>10.75272</v>
      </c>
      <c r="T37" s="150">
        <v>5.9758510000000001E-2</v>
      </c>
      <c r="U37" s="150">
        <v>5.9758510000000001E-2</v>
      </c>
      <c r="V37" s="150">
        <v>88.740380000000002</v>
      </c>
      <c r="W37" s="62">
        <f>VLOOKUP(L37,Sheet3!$E$1:$H$20,4,FALSE)</f>
        <v>4</v>
      </c>
      <c r="X37" s="62" t="str">
        <f t="shared" si="6"/>
        <v>Power Performance</v>
      </c>
      <c r="Y37" s="62" t="str">
        <f>VLOOKUP($K37,waveData!$K$3:$Z$11,2,FALSE)</f>
        <v>polychromatic short crested head-on</v>
      </c>
      <c r="Z37" s="62" t="str">
        <f>VLOOKUP($K37,waveData!$K$3:$Z$11,3,FALSE)</f>
        <v>Bretschneider Spectrum</v>
      </c>
      <c r="AA37" s="62">
        <f>VLOOKUP($K37,waveData!$K$3:$Z$11,4,FALSE)</f>
        <v>0.1431</v>
      </c>
      <c r="AB37" s="62">
        <f>VLOOKUP($K37,waveData!$K$3:$Z$11,5,FALSE)</f>
        <v>1.9878</v>
      </c>
      <c r="AC37" s="62" t="str">
        <f>VLOOKUP($K37,waveData!$K$3:$Z$11,6,FALSE)</f>
        <v xml:space="preserve"> </v>
      </c>
      <c r="AD37" s="62">
        <f>VLOOKUP($K37,waveData!$K$3:$Z$11,7,FALSE)</f>
        <v>3.3500000000000002E-2</v>
      </c>
      <c r="AE37" s="62">
        <f>VLOOKUP($K37,waveData!$K$3:$Z$11,8,FALSE)</f>
        <v>0</v>
      </c>
      <c r="AF37" s="62" t="str">
        <f>VLOOKUP($K37,waveData!$K$3:$Z$11,9,FALSE)</f>
        <v>cos2s</v>
      </c>
      <c r="AG37" s="62">
        <f>VLOOKUP($K37,waveData!$K$3:$Z$11,10,FALSE)</f>
        <v>10</v>
      </c>
      <c r="AH37" s="62">
        <f>VLOOKUP($K37,waveData!$K$3:$Z$11,11,FALSE)</f>
        <v>16.154699999999998</v>
      </c>
      <c r="AI37" s="62">
        <f>VLOOKUP($K37,waveData!$K$3:$Z$11,12,FALSE)</f>
        <v>1.6534</v>
      </c>
      <c r="AJ37" s="62">
        <f>VLOOKUP($K37,waveData!$K$3:$Z$11,13,FALSE)</f>
        <v>0.62560000000000004</v>
      </c>
      <c r="AK37" s="62">
        <f>VLOOKUP($K37,waveData!$K$3:$Z$11,14,FALSE)</f>
        <v>4.3</v>
      </c>
      <c r="AL37" s="62" t="str">
        <f>VLOOKUP($K37,waveData!$K$3:$Z$11,15,FALSE)</f>
        <v xml:space="preserve"> </v>
      </c>
      <c r="AM37" s="62">
        <f>VLOOKUP($K37,waveData!$K$3:$Z$11,16,FALSE)</f>
        <v>1000</v>
      </c>
    </row>
    <row r="38" spans="1:39" x14ac:dyDescent="0.25">
      <c r="A38" t="s">
        <v>567</v>
      </c>
      <c r="B38" s="62" t="str">
        <f t="shared" si="0"/>
        <v>1220022062</v>
      </c>
      <c r="C38" s="62">
        <v>2017</v>
      </c>
      <c r="D38" s="62">
        <v>12</v>
      </c>
      <c r="E38" s="62">
        <f t="shared" si="1"/>
        <v>20</v>
      </c>
      <c r="F38" s="147">
        <f t="shared" si="2"/>
        <v>2</v>
      </c>
      <c r="G38" s="147">
        <f t="shared" si="3"/>
        <v>14</v>
      </c>
      <c r="H38" s="147">
        <f t="shared" si="4"/>
        <v>20</v>
      </c>
      <c r="I38" s="147">
        <f t="shared" si="5"/>
        <v>62</v>
      </c>
      <c r="J38" s="62" t="str">
        <f t="shared" si="7"/>
        <v>2017-12-20-14:20:62-04</v>
      </c>
      <c r="K38">
        <v>7</v>
      </c>
      <c r="L38">
        <v>220</v>
      </c>
      <c r="M38">
        <v>964</v>
      </c>
      <c r="N38" s="150">
        <v>3.9113359999999999</v>
      </c>
      <c r="O38" s="150">
        <v>5.5835720000000002</v>
      </c>
      <c r="P38" s="150">
        <v>0.64561800000000003</v>
      </c>
      <c r="Q38" s="150">
        <v>2.2556440000000002</v>
      </c>
      <c r="R38" s="150">
        <v>-7.7992189999999999</v>
      </c>
      <c r="S38" s="150">
        <v>8.9854489999999991</v>
      </c>
      <c r="T38" s="150">
        <v>3.969345E-3</v>
      </c>
      <c r="U38" s="150">
        <v>3.969345E-3</v>
      </c>
      <c r="V38" s="150">
        <v>105.4443</v>
      </c>
      <c r="W38" s="62">
        <f>VLOOKUP(L38,Sheet3!$E$1:$H$20,4,FALSE)</f>
        <v>6</v>
      </c>
      <c r="X38" s="62" t="str">
        <f t="shared" si="6"/>
        <v>Power Performance</v>
      </c>
      <c r="Y38" s="62" t="str">
        <f>VLOOKUP($K38,waveData!$K$3:$Z$11,2,FALSE)</f>
        <v>polychromatic short crested head-on</v>
      </c>
      <c r="Z38" s="62" t="str">
        <f>VLOOKUP($K38,waveData!$K$3:$Z$11,3,FALSE)</f>
        <v>Bretschneider Spectrum</v>
      </c>
      <c r="AA38" s="62">
        <f>VLOOKUP($K38,waveData!$K$3:$Z$11,4,FALSE)</f>
        <v>0.1431</v>
      </c>
      <c r="AB38" s="62">
        <f>VLOOKUP($K38,waveData!$K$3:$Z$11,5,FALSE)</f>
        <v>1.9878</v>
      </c>
      <c r="AC38" s="62" t="str">
        <f>VLOOKUP($K38,waveData!$K$3:$Z$11,6,FALSE)</f>
        <v xml:space="preserve"> </v>
      </c>
      <c r="AD38" s="62">
        <f>VLOOKUP($K38,waveData!$K$3:$Z$11,7,FALSE)</f>
        <v>3.3500000000000002E-2</v>
      </c>
      <c r="AE38" s="62">
        <f>VLOOKUP($K38,waveData!$K$3:$Z$11,8,FALSE)</f>
        <v>0</v>
      </c>
      <c r="AF38" s="62" t="str">
        <f>VLOOKUP($K38,waveData!$K$3:$Z$11,9,FALSE)</f>
        <v>cos2s</v>
      </c>
      <c r="AG38" s="62">
        <f>VLOOKUP($K38,waveData!$K$3:$Z$11,10,FALSE)</f>
        <v>10</v>
      </c>
      <c r="AH38" s="62">
        <f>VLOOKUP($K38,waveData!$K$3:$Z$11,11,FALSE)</f>
        <v>16.154699999999998</v>
      </c>
      <c r="AI38" s="62">
        <f>VLOOKUP($K38,waveData!$K$3:$Z$11,12,FALSE)</f>
        <v>1.6534</v>
      </c>
      <c r="AJ38" s="62">
        <f>VLOOKUP($K38,waveData!$K$3:$Z$11,13,FALSE)</f>
        <v>0.62560000000000004</v>
      </c>
      <c r="AK38" s="62">
        <f>VLOOKUP($K38,waveData!$K$3:$Z$11,14,FALSE)</f>
        <v>4.3</v>
      </c>
      <c r="AL38" s="62" t="str">
        <f>VLOOKUP($K38,waveData!$K$3:$Z$11,15,FALSE)</f>
        <v xml:space="preserve"> </v>
      </c>
      <c r="AM38" s="62">
        <f>VLOOKUP($K38,waveData!$K$3:$Z$11,16,FALSE)</f>
        <v>1000</v>
      </c>
    </row>
    <row r="39" spans="1:39" x14ac:dyDescent="0.25">
      <c r="A39" t="s">
        <v>568</v>
      </c>
      <c r="B39" s="62" t="str">
        <f t="shared" si="0"/>
        <v>1221032720</v>
      </c>
      <c r="C39" s="62">
        <v>2017</v>
      </c>
      <c r="D39" s="62">
        <v>12</v>
      </c>
      <c r="E39" s="62">
        <f t="shared" si="1"/>
        <v>21</v>
      </c>
      <c r="F39" s="147">
        <f t="shared" si="2"/>
        <v>3</v>
      </c>
      <c r="G39" s="147">
        <f t="shared" si="3"/>
        <v>15</v>
      </c>
      <c r="H39" s="147">
        <f t="shared" si="4"/>
        <v>27</v>
      </c>
      <c r="I39" s="147">
        <f t="shared" si="5"/>
        <v>20</v>
      </c>
      <c r="J39" s="62" t="str">
        <f t="shared" si="7"/>
        <v>2017-12-21-15:27:20-04</v>
      </c>
      <c r="K39">
        <v>8</v>
      </c>
      <c r="L39">
        <v>250</v>
      </c>
      <c r="M39">
        <v>964</v>
      </c>
      <c r="N39" s="150">
        <v>1.4499899999999999</v>
      </c>
      <c r="O39" s="150">
        <v>2.0245320000000002</v>
      </c>
      <c r="P39" s="150">
        <v>0.42598469999999999</v>
      </c>
      <c r="Q39" s="150">
        <v>1.590409</v>
      </c>
      <c r="R39" s="150">
        <v>-4.9622279999999996</v>
      </c>
      <c r="S39" s="150">
        <v>6.5367949999999997</v>
      </c>
      <c r="T39" s="150">
        <v>1.085795E-2</v>
      </c>
      <c r="U39" s="150">
        <v>1.085795E-2</v>
      </c>
      <c r="V39" s="150">
        <v>67.431780000000003</v>
      </c>
      <c r="W39" s="62">
        <f>VLOOKUP(L39,Sheet3!$E$1:$H$20,4,FALSE)</f>
        <v>7</v>
      </c>
      <c r="X39" s="62" t="str">
        <f t="shared" si="6"/>
        <v>Power Performance</v>
      </c>
      <c r="Y39" s="62" t="str">
        <f>VLOOKUP($K39,waveData!$K$3:$Z$11,2,FALSE)</f>
        <v>bimodal polychromatic long-crested</v>
      </c>
      <c r="Z39" s="62" t="str">
        <f>VLOOKUP($K39,waveData!$K$3:$Z$11,3,FALSE)</f>
        <v>Custom</v>
      </c>
      <c r="AA39" s="62">
        <f>VLOOKUP($K39,waveData!$K$3:$Z$11,4,FALSE)</f>
        <v>0.112</v>
      </c>
      <c r="AB39" s="62">
        <f>VLOOKUP($K39,waveData!$K$3:$Z$11,5,FALSE)</f>
        <v>3.3130000000000002</v>
      </c>
      <c r="AC39" s="62" t="str">
        <f>VLOOKUP($K39,waveData!$K$3:$Z$11,6,FALSE)</f>
        <v xml:space="preserve"> </v>
      </c>
      <c r="AD39" s="62">
        <f>VLOOKUP($K39,waveData!$K$3:$Z$11,7,FALSE)</f>
        <v>1.1900000000000001E-2</v>
      </c>
      <c r="AE39" s="62">
        <f>VLOOKUP($K39,waveData!$K$3:$Z$11,8,FALSE)</f>
        <v>0</v>
      </c>
      <c r="AF39" s="62" t="str">
        <f>VLOOKUP($K39,waveData!$K$3:$Z$11,9,FALSE)</f>
        <v>bi-directional</v>
      </c>
      <c r="AG39" s="62" t="str">
        <f>VLOOKUP($K39,waveData!$K$3:$Z$11,10,FALSE)</f>
        <v xml:space="preserve"> </v>
      </c>
      <c r="AH39" s="62">
        <f>VLOOKUP($K39,waveData!$K$3:$Z$11,11,FALSE)</f>
        <v>16.121300000000002</v>
      </c>
      <c r="AI39" s="62">
        <f>VLOOKUP($K39,waveData!$K$3:$Z$11,12,FALSE)</f>
        <v>2.4655</v>
      </c>
      <c r="AJ39" s="62">
        <f>VLOOKUP($K39,waveData!$K$3:$Z$11,13,FALSE)</f>
        <v>0.57299999999999995</v>
      </c>
      <c r="AK39" s="62">
        <f>VLOOKUP($K39,waveData!$K$3:$Z$11,14,FALSE)</f>
        <v>4.3</v>
      </c>
      <c r="AL39" s="62" t="str">
        <f>VLOOKUP($K39,waveData!$K$3:$Z$11,15,FALSE)</f>
        <v xml:space="preserve"> </v>
      </c>
      <c r="AM39" s="62">
        <f>VLOOKUP($K39,waveData!$K$3:$Z$11,16,FALSE)</f>
        <v>1000</v>
      </c>
    </row>
    <row r="40" spans="1:39" x14ac:dyDescent="0.25">
      <c r="A40" t="s">
        <v>569</v>
      </c>
      <c r="B40" s="62" t="str">
        <f t="shared" si="0"/>
        <v>1221024619</v>
      </c>
      <c r="C40" s="62">
        <v>2017</v>
      </c>
      <c r="D40" s="62">
        <v>12</v>
      </c>
      <c r="E40" s="62">
        <f t="shared" si="1"/>
        <v>21</v>
      </c>
      <c r="F40" s="147">
        <f t="shared" si="2"/>
        <v>2</v>
      </c>
      <c r="G40" s="147">
        <f t="shared" si="3"/>
        <v>14</v>
      </c>
      <c r="H40" s="147">
        <f t="shared" si="4"/>
        <v>46</v>
      </c>
      <c r="I40" s="147">
        <f t="shared" si="5"/>
        <v>19</v>
      </c>
      <c r="J40" s="62" t="str">
        <f t="shared" si="7"/>
        <v>2017-12-21-14:46:19-04</v>
      </c>
      <c r="K40">
        <v>8</v>
      </c>
      <c r="L40">
        <v>400</v>
      </c>
      <c r="M40">
        <v>964</v>
      </c>
      <c r="N40" s="150">
        <v>1.4702</v>
      </c>
      <c r="O40" s="150">
        <v>2.045172</v>
      </c>
      <c r="P40" s="150">
        <v>0.49827860000000002</v>
      </c>
      <c r="Q40" s="150">
        <v>1.7576700000000001</v>
      </c>
      <c r="R40" s="150">
        <v>-5.7725549999999997</v>
      </c>
      <c r="S40" s="150">
        <v>7.1424839999999996</v>
      </c>
      <c r="T40" s="150">
        <v>0.1085086</v>
      </c>
      <c r="U40" s="150">
        <v>0.1085086</v>
      </c>
      <c r="V40" s="150">
        <v>58.897120000000001</v>
      </c>
      <c r="W40" s="62">
        <f>VLOOKUP(L40,Sheet3!$E$1:$H$20,4,FALSE)</f>
        <v>15</v>
      </c>
      <c r="X40" s="62" t="str">
        <f t="shared" si="6"/>
        <v>Power Performance</v>
      </c>
      <c r="Y40" s="62" t="str">
        <f>VLOOKUP($K40,waveData!$K$3:$Z$11,2,FALSE)</f>
        <v>bimodal polychromatic long-crested</v>
      </c>
      <c r="Z40" s="62" t="str">
        <f>VLOOKUP($K40,waveData!$K$3:$Z$11,3,FALSE)</f>
        <v>Custom</v>
      </c>
      <c r="AA40" s="62">
        <f>VLOOKUP($K40,waveData!$K$3:$Z$11,4,FALSE)</f>
        <v>0.112</v>
      </c>
      <c r="AB40" s="62">
        <f>VLOOKUP($K40,waveData!$K$3:$Z$11,5,FALSE)</f>
        <v>3.3130000000000002</v>
      </c>
      <c r="AC40" s="62" t="str">
        <f>VLOOKUP($K40,waveData!$K$3:$Z$11,6,FALSE)</f>
        <v xml:space="preserve"> </v>
      </c>
      <c r="AD40" s="62">
        <f>VLOOKUP($K40,waveData!$K$3:$Z$11,7,FALSE)</f>
        <v>1.1900000000000001E-2</v>
      </c>
      <c r="AE40" s="62">
        <f>VLOOKUP($K40,waveData!$K$3:$Z$11,8,FALSE)</f>
        <v>0</v>
      </c>
      <c r="AF40" s="62" t="str">
        <f>VLOOKUP($K40,waveData!$K$3:$Z$11,9,FALSE)</f>
        <v>bi-directional</v>
      </c>
      <c r="AG40" s="62" t="str">
        <f>VLOOKUP($K40,waveData!$K$3:$Z$11,10,FALSE)</f>
        <v xml:space="preserve"> </v>
      </c>
      <c r="AH40" s="62">
        <f>VLOOKUP($K40,waveData!$K$3:$Z$11,11,FALSE)</f>
        <v>16.121300000000002</v>
      </c>
      <c r="AI40" s="62">
        <f>VLOOKUP($K40,waveData!$K$3:$Z$11,12,FALSE)</f>
        <v>2.4655</v>
      </c>
      <c r="AJ40" s="62">
        <f>VLOOKUP($K40,waveData!$K$3:$Z$11,13,FALSE)</f>
        <v>0.57299999999999995</v>
      </c>
      <c r="AK40" s="62">
        <f>VLOOKUP($K40,waveData!$K$3:$Z$11,14,FALSE)</f>
        <v>4.3</v>
      </c>
      <c r="AL40" s="62" t="str">
        <f>VLOOKUP($K40,waveData!$K$3:$Z$11,15,FALSE)</f>
        <v xml:space="preserve"> </v>
      </c>
      <c r="AM40" s="62">
        <f>VLOOKUP($K40,waveData!$K$3:$Z$11,16,FALSE)</f>
        <v>1000</v>
      </c>
    </row>
    <row r="41" spans="1:39" x14ac:dyDescent="0.25">
      <c r="A41" t="s">
        <v>570</v>
      </c>
      <c r="B41" s="62" t="str">
        <f t="shared" si="0"/>
        <v>1221030551</v>
      </c>
      <c r="C41" s="62">
        <v>2017</v>
      </c>
      <c r="D41" s="62">
        <v>12</v>
      </c>
      <c r="E41" s="62">
        <f t="shared" si="1"/>
        <v>21</v>
      </c>
      <c r="F41" s="147">
        <f t="shared" si="2"/>
        <v>3</v>
      </c>
      <c r="G41" s="147">
        <f t="shared" si="3"/>
        <v>15</v>
      </c>
      <c r="H41" s="147">
        <f t="shared" si="4"/>
        <v>5</v>
      </c>
      <c r="I41" s="147">
        <f t="shared" si="5"/>
        <v>51</v>
      </c>
      <c r="J41" s="62" t="str">
        <f t="shared" si="7"/>
        <v>2017-12-21-15:05:51-04</v>
      </c>
      <c r="K41">
        <v>8</v>
      </c>
      <c r="L41">
        <v>400</v>
      </c>
      <c r="M41">
        <v>964</v>
      </c>
      <c r="N41" s="150">
        <v>1.37079</v>
      </c>
      <c r="O41" s="150">
        <v>1.936644</v>
      </c>
      <c r="P41" s="150">
        <v>0.58390790000000004</v>
      </c>
      <c r="Q41" s="150">
        <v>1.269118</v>
      </c>
      <c r="R41" s="150">
        <v>-3.2437839999999998</v>
      </c>
      <c r="S41" s="150">
        <v>5.1058250000000003</v>
      </c>
      <c r="T41" s="150">
        <v>7.1988640000000007E-2</v>
      </c>
      <c r="U41" s="150">
        <v>7.1988640000000007E-2</v>
      </c>
      <c r="V41" s="150">
        <v>92.943430000000006</v>
      </c>
      <c r="W41" s="62">
        <f>VLOOKUP(L41,Sheet3!$E$1:$H$20,4,FALSE)</f>
        <v>15</v>
      </c>
      <c r="X41" s="62" t="str">
        <f t="shared" si="6"/>
        <v>Power Performance</v>
      </c>
      <c r="Y41" s="62" t="str">
        <f>VLOOKUP($K41,waveData!$K$3:$Z$11,2,FALSE)</f>
        <v>bimodal polychromatic long-crested</v>
      </c>
      <c r="Z41" s="62" t="str">
        <f>VLOOKUP($K41,waveData!$K$3:$Z$11,3,FALSE)</f>
        <v>Custom</v>
      </c>
      <c r="AA41" s="62">
        <f>VLOOKUP($K41,waveData!$K$3:$Z$11,4,FALSE)</f>
        <v>0.112</v>
      </c>
      <c r="AB41" s="62">
        <f>VLOOKUP($K41,waveData!$K$3:$Z$11,5,FALSE)</f>
        <v>3.3130000000000002</v>
      </c>
      <c r="AC41" s="62" t="str">
        <f>VLOOKUP($K41,waveData!$K$3:$Z$11,6,FALSE)</f>
        <v xml:space="preserve"> </v>
      </c>
      <c r="AD41" s="62">
        <f>VLOOKUP($K41,waveData!$K$3:$Z$11,7,FALSE)</f>
        <v>1.1900000000000001E-2</v>
      </c>
      <c r="AE41" s="62">
        <f>VLOOKUP($K41,waveData!$K$3:$Z$11,8,FALSE)</f>
        <v>0</v>
      </c>
      <c r="AF41" s="62" t="str">
        <f>VLOOKUP($K41,waveData!$K$3:$Z$11,9,FALSE)</f>
        <v>bi-directional</v>
      </c>
      <c r="AG41" s="62" t="str">
        <f>VLOOKUP($K41,waveData!$K$3:$Z$11,10,FALSE)</f>
        <v xml:space="preserve"> </v>
      </c>
      <c r="AH41" s="62">
        <f>VLOOKUP($K41,waveData!$K$3:$Z$11,11,FALSE)</f>
        <v>16.121300000000002</v>
      </c>
      <c r="AI41" s="62">
        <f>VLOOKUP($K41,waveData!$K$3:$Z$11,12,FALSE)</f>
        <v>2.4655</v>
      </c>
      <c r="AJ41" s="62">
        <f>VLOOKUP($K41,waveData!$K$3:$Z$11,13,FALSE)</f>
        <v>0.57299999999999995</v>
      </c>
      <c r="AK41" s="62">
        <f>VLOOKUP($K41,waveData!$K$3:$Z$11,14,FALSE)</f>
        <v>4.3</v>
      </c>
      <c r="AL41" s="62" t="str">
        <f>VLOOKUP($K41,waveData!$K$3:$Z$11,15,FALSE)</f>
        <v xml:space="preserve"> </v>
      </c>
      <c r="AM41" s="62">
        <f>VLOOKUP($K41,waveData!$K$3:$Z$11,16,FALSE)</f>
        <v>1000</v>
      </c>
    </row>
  </sheetData>
  <pageMargins left="0.7" right="0.7" top="0.75" bottom="0.75" header="0.3" footer="0.3"/>
  <pageSetup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22970-F003-4C9F-B809-B4AEA4C70C49}">
  <dimension ref="A3:AO11"/>
  <sheetViews>
    <sheetView workbookViewId="0">
      <selection activeCell="A4" sqref="A4:A11"/>
    </sheetView>
  </sheetViews>
  <sheetFormatPr defaultRowHeight="15" x14ac:dyDescent="0.25"/>
  <cols>
    <col min="1" max="1" width="23.85546875" bestFit="1" customWidth="1"/>
    <col min="2" max="2" width="11" style="62" bestFit="1" customWidth="1"/>
    <col min="3" max="9" width="7" style="62" customWidth="1"/>
    <col min="10" max="10" width="21.42578125" style="62" bestFit="1" customWidth="1"/>
    <col min="11" max="11" width="10.140625" bestFit="1" customWidth="1"/>
    <col min="12" max="12" width="8.85546875" bestFit="1" customWidth="1"/>
    <col min="13" max="13" width="10.28515625" bestFit="1" customWidth="1"/>
    <col min="14" max="14" width="11.7109375" bestFit="1" customWidth="1"/>
    <col min="15" max="15" width="9.5703125" bestFit="1" customWidth="1"/>
    <col min="16" max="16" width="14.28515625" bestFit="1" customWidth="1"/>
    <col min="17" max="17" width="11.85546875" bestFit="1" customWidth="1"/>
    <col min="18" max="18" width="12.5703125" bestFit="1" customWidth="1"/>
    <col min="19" max="19" width="12.85546875" bestFit="1" customWidth="1"/>
    <col min="20" max="21" width="9" customWidth="1"/>
    <col min="22" max="22" width="8.5703125" bestFit="1" customWidth="1"/>
    <col min="23" max="23" width="11.42578125" bestFit="1" customWidth="1"/>
    <col min="24" max="24" width="12.85546875" bestFit="1" customWidth="1"/>
    <col min="26" max="26" width="18.85546875" bestFit="1" customWidth="1"/>
    <col min="28" max="28" width="22.7109375" bestFit="1" customWidth="1"/>
  </cols>
  <sheetData>
    <row r="3" spans="1:41" x14ac:dyDescent="0.25">
      <c r="A3" t="s">
        <v>501</v>
      </c>
      <c r="C3" s="62" t="s">
        <v>525</v>
      </c>
      <c r="D3" s="62" t="s">
        <v>526</v>
      </c>
      <c r="E3" s="62" t="s">
        <v>527</v>
      </c>
      <c r="F3" s="62" t="s">
        <v>528</v>
      </c>
      <c r="H3" s="62" t="s">
        <v>529</v>
      </c>
      <c r="I3" s="62" t="s">
        <v>530</v>
      </c>
      <c r="J3" s="62" t="s">
        <v>593</v>
      </c>
      <c r="K3" t="s">
        <v>502</v>
      </c>
      <c r="L3" t="s">
        <v>503</v>
      </c>
      <c r="M3" t="s">
        <v>504</v>
      </c>
      <c r="N3" t="s">
        <v>505</v>
      </c>
      <c r="O3" t="s">
        <v>506</v>
      </c>
      <c r="P3" t="s">
        <v>507</v>
      </c>
      <c r="Q3" t="s">
        <v>508</v>
      </c>
      <c r="R3" t="s">
        <v>509</v>
      </c>
      <c r="S3" t="s">
        <v>510</v>
      </c>
      <c r="T3" t="s">
        <v>511</v>
      </c>
      <c r="U3" t="s">
        <v>512</v>
      </c>
      <c r="V3" t="s">
        <v>513</v>
      </c>
      <c r="W3" t="s">
        <v>651</v>
      </c>
      <c r="X3" t="s">
        <v>652</v>
      </c>
      <c r="Y3" s="62" t="s">
        <v>594</v>
      </c>
      <c r="Z3" s="62" t="s">
        <v>595</v>
      </c>
      <c r="AA3" s="46" t="s">
        <v>95</v>
      </c>
      <c r="AB3" s="46" t="s">
        <v>149</v>
      </c>
      <c r="AC3" s="46" t="s">
        <v>54</v>
      </c>
      <c r="AD3" s="46" t="s">
        <v>333</v>
      </c>
      <c r="AE3" s="46" t="s">
        <v>292</v>
      </c>
      <c r="AF3" s="46" t="s">
        <v>293</v>
      </c>
      <c r="AG3" s="46" t="s">
        <v>55</v>
      </c>
      <c r="AH3" s="46" t="s">
        <v>294</v>
      </c>
      <c r="AI3" s="46" t="s">
        <v>295</v>
      </c>
      <c r="AJ3" s="46" t="s">
        <v>56</v>
      </c>
      <c r="AK3" s="46" t="s">
        <v>296</v>
      </c>
      <c r="AL3" s="46" t="s">
        <v>297</v>
      </c>
      <c r="AM3" s="46" t="s">
        <v>57</v>
      </c>
      <c r="AN3" s="46" t="s">
        <v>332</v>
      </c>
      <c r="AO3" s="46" t="s">
        <v>298</v>
      </c>
    </row>
    <row r="4" spans="1:41" x14ac:dyDescent="0.25">
      <c r="A4" t="s">
        <v>643</v>
      </c>
      <c r="B4" s="62" t="str">
        <f>LEFT(RIGHT(A4,14),10)</f>
        <v>0131105491</v>
      </c>
      <c r="C4" s="62">
        <v>2018</v>
      </c>
      <c r="D4" s="62">
        <v>1</v>
      </c>
      <c r="E4" s="62">
        <f>_xlfn.NUMBERVALUE(MID(B4,3,2))</f>
        <v>31</v>
      </c>
      <c r="F4" s="147">
        <f>_xlfn.NUMBERVALUE(MID(B4,5,2))</f>
        <v>10</v>
      </c>
      <c r="G4" s="147">
        <f>IF(F4&lt;7,F4+12,F4)</f>
        <v>10</v>
      </c>
      <c r="H4" s="147">
        <f>_xlfn.NUMBERVALUE(MID(B4,7,2))</f>
        <v>54</v>
      </c>
      <c r="I4" s="147">
        <f>_xlfn.NUMBERVALUE(MID(B4,9,2))</f>
        <v>91</v>
      </c>
      <c r="J4" s="62" t="str">
        <f>C4&amp;"-"&amp;TEXT(D4,"00")&amp;"-"&amp;TEXT(E4,"00")&amp;"-"&amp;TEXT(G4,"00")&amp;":"&amp;TEXT(H4,"00")&amp;":"&amp;TEXT(I4,"00")&amp;"-04"</f>
        <v>2018-01-31-10:54:91-04</v>
      </c>
      <c r="K4">
        <v>1</v>
      </c>
      <c r="L4">
        <v>2.8</v>
      </c>
      <c r="M4">
        <v>964</v>
      </c>
      <c r="N4" s="149">
        <v>1.202801</v>
      </c>
      <c r="O4" s="149">
        <v>1.912984</v>
      </c>
      <c r="P4" s="149">
        <v>6.5083680000000005E-2</v>
      </c>
      <c r="Q4" s="149">
        <v>2.2304560000000002</v>
      </c>
      <c r="R4" s="149">
        <v>-9.8446269999999991</v>
      </c>
      <c r="S4" s="149">
        <v>13.067970000000001</v>
      </c>
      <c r="T4" s="149">
        <v>0.1898347</v>
      </c>
      <c r="U4" s="149">
        <v>0.1898347</v>
      </c>
      <c r="V4" s="149">
        <v>39.406329999999997</v>
      </c>
      <c r="W4" s="149">
        <v>1.202801</v>
      </c>
      <c r="X4" s="149">
        <v>0.58168569999999997</v>
      </c>
      <c r="Y4">
        <f>VLOOKUP(L4,Sheet3!$E$21:$H$25,4,FALSE)</f>
        <v>22</v>
      </c>
      <c r="Z4" t="s">
        <v>176</v>
      </c>
      <c r="AA4" s="62" t="str">
        <f>VLOOKUP($K4,waveData!$K$3:$Z$11,2,FALSE)</f>
        <v>polychromatic long-crested head-on</v>
      </c>
      <c r="AB4" s="62" t="str">
        <f>VLOOKUP($K4,waveData!$K$3:$Z$11,3,FALSE)</f>
        <v>Bretschneider Spectrum</v>
      </c>
      <c r="AC4" s="62">
        <f>VLOOKUP($K4,waveData!$K$3:$Z$11,4,FALSE)</f>
        <v>8.0299999999999996E-2</v>
      </c>
      <c r="AD4" s="62">
        <f>VLOOKUP($K4,waveData!$K$3:$Z$11,5,FALSE)</f>
        <v>1.9878</v>
      </c>
      <c r="AE4" s="62" t="str">
        <f>VLOOKUP($K4,waveData!$K$3:$Z$11,6,FALSE)</f>
        <v xml:space="preserve"> </v>
      </c>
      <c r="AF4" s="62">
        <f>VLOOKUP($K4,waveData!$K$3:$Z$11,7,FALSE)</f>
        <v>1.9400000000000001E-2</v>
      </c>
      <c r="AG4" s="62">
        <f>VLOOKUP($K4,waveData!$K$3:$Z$11,8,FALSE)</f>
        <v>0</v>
      </c>
      <c r="AH4" s="62" t="str">
        <f>VLOOKUP($K4,waveData!$K$3:$Z$11,9,FALSE)</f>
        <v xml:space="preserve"> </v>
      </c>
      <c r="AI4" s="62" t="str">
        <f>VLOOKUP($K4,waveData!$K$3:$Z$11,10,FALSE)</f>
        <v xml:space="preserve"> </v>
      </c>
      <c r="AJ4" s="62">
        <f>VLOOKUP($K4,waveData!$K$3:$Z$11,11,FALSE)</f>
        <v>4.9999000000000002</v>
      </c>
      <c r="AK4" s="62">
        <f>VLOOKUP($K4,waveData!$K$3:$Z$11,12,FALSE)</f>
        <v>1.6289</v>
      </c>
      <c r="AL4" s="62">
        <f>VLOOKUP($K4,waveData!$K$3:$Z$11,13,FALSE)</f>
        <v>0.78220000000000001</v>
      </c>
      <c r="AM4" s="62">
        <f>VLOOKUP($K4,waveData!$K$3:$Z$11,14,FALSE)</f>
        <v>4.3</v>
      </c>
      <c r="AN4" s="62" t="str">
        <f>VLOOKUP($K4,waveData!$K$3:$Z$11,15,FALSE)</f>
        <v xml:space="preserve"> </v>
      </c>
      <c r="AO4" s="62">
        <f>VLOOKUP($K4,waveData!$K$3:$Z$11,16,FALSE)</f>
        <v>1000</v>
      </c>
    </row>
    <row r="5" spans="1:41" x14ac:dyDescent="0.25">
      <c r="A5" t="s">
        <v>644</v>
      </c>
      <c r="B5" s="62" t="str">
        <f t="shared" ref="B5:B11" si="0">LEFT(RIGHT(A5,14),10)</f>
        <v>0131111157</v>
      </c>
      <c r="C5" s="62">
        <v>2018</v>
      </c>
      <c r="D5" s="62">
        <v>1</v>
      </c>
      <c r="E5" s="62">
        <f t="shared" ref="E5:E11" si="1">_xlfn.NUMBERVALUE(MID(B5,3,2))</f>
        <v>31</v>
      </c>
      <c r="F5" s="147">
        <f t="shared" ref="F5:F11" si="2">_xlfn.NUMBERVALUE(MID(B5,5,2))</f>
        <v>11</v>
      </c>
      <c r="G5" s="147">
        <f t="shared" ref="G5:G11" si="3">IF(F5&lt;7,F5+12,F5)</f>
        <v>11</v>
      </c>
      <c r="H5" s="147">
        <f t="shared" ref="H5:H11" si="4">_xlfn.NUMBERVALUE(MID(B5,7,2))</f>
        <v>11</v>
      </c>
      <c r="I5" s="147">
        <f t="shared" ref="I5:I11" si="5">_xlfn.NUMBERVALUE(MID(B5,9,2))</f>
        <v>57</v>
      </c>
      <c r="J5" s="62" t="str">
        <f t="shared" ref="J5:J11" si="6">C5&amp;"-"&amp;TEXT(D5,"00")&amp;"-"&amp;TEXT(E5,"00")&amp;"-"&amp;TEXT(G5,"00")&amp;":"&amp;TEXT(H5,"00")&amp;":"&amp;TEXT(I5,"00")&amp;"-04"</f>
        <v>2018-01-31-11:11:57-04</v>
      </c>
      <c r="K5">
        <v>2</v>
      </c>
      <c r="L5">
        <v>1.8</v>
      </c>
      <c r="M5">
        <v>960</v>
      </c>
      <c r="N5" s="149">
        <v>2.2908759999999999</v>
      </c>
      <c r="O5" s="149">
        <v>3.267258</v>
      </c>
      <c r="P5" s="149">
        <v>0.30081659999999999</v>
      </c>
      <c r="Q5" s="149">
        <v>2.8368199999999999</v>
      </c>
      <c r="R5" s="149">
        <v>-13.578340000000001</v>
      </c>
      <c r="S5" s="149">
        <v>13.35037</v>
      </c>
      <c r="T5" s="149">
        <v>0.24242</v>
      </c>
      <c r="U5" s="149">
        <v>0.24242</v>
      </c>
      <c r="V5" s="149">
        <v>51.526499999999999</v>
      </c>
      <c r="W5" s="149">
        <v>2.2908759999999999</v>
      </c>
      <c r="X5" s="149">
        <v>1.043004</v>
      </c>
      <c r="Y5" s="62">
        <f>VLOOKUP(L5,Sheet3!$E$21:$H$25,4,FALSE)</f>
        <v>21</v>
      </c>
      <c r="Z5" s="62" t="s">
        <v>176</v>
      </c>
      <c r="AA5" s="62" t="str">
        <f>VLOOKUP($K5,waveData!$K$3:$Z$11,2,FALSE)</f>
        <v>polychromatic long-crested head-on</v>
      </c>
      <c r="AB5" s="62" t="str">
        <f>VLOOKUP($K5,waveData!$K$3:$Z$11,3,FALSE)</f>
        <v>Bretschneider Spectrum</v>
      </c>
      <c r="AC5" s="62">
        <f>VLOOKUP($K5,waveData!$K$3:$Z$11,4,FALSE)</f>
        <v>0.1075</v>
      </c>
      <c r="AD5" s="62">
        <f>VLOOKUP($K5,waveData!$K$3:$Z$11,5,FALSE)</f>
        <v>1.5529999999999999</v>
      </c>
      <c r="AE5" s="62" t="str">
        <f>VLOOKUP($K5,waveData!$K$3:$Z$11,6,FALSE)</f>
        <v xml:space="preserve"> </v>
      </c>
      <c r="AF5" s="62">
        <f>VLOOKUP($K5,waveData!$K$3:$Z$11,7,FALSE)</f>
        <v>3.39E-2</v>
      </c>
      <c r="AG5" s="62">
        <f>VLOOKUP($K5,waveData!$K$3:$Z$11,8,FALSE)</f>
        <v>0</v>
      </c>
      <c r="AH5" s="62" t="str">
        <f>VLOOKUP($K5,waveData!$K$3:$Z$11,9,FALSE)</f>
        <v xml:space="preserve"> </v>
      </c>
      <c r="AI5" s="62" t="str">
        <f>VLOOKUP($K5,waveData!$K$3:$Z$11,10,FALSE)</f>
        <v xml:space="preserve"> </v>
      </c>
      <c r="AJ5" s="62">
        <f>VLOOKUP($K5,waveData!$K$3:$Z$11,11,FALSE)</f>
        <v>7.8532000000000002</v>
      </c>
      <c r="AK5" s="62">
        <f>VLOOKUP($K5,waveData!$K$3:$Z$11,12,FALSE)</f>
        <v>1.4241999999999999</v>
      </c>
      <c r="AL5" s="62">
        <f>VLOOKUP($K5,waveData!$K$3:$Z$11,13,FALSE)</f>
        <v>0.53090000000000004</v>
      </c>
      <c r="AM5" s="62">
        <f>VLOOKUP($K5,waveData!$K$3:$Z$11,14,FALSE)</f>
        <v>4.3</v>
      </c>
      <c r="AN5" s="62" t="str">
        <f>VLOOKUP($K5,waveData!$K$3:$Z$11,15,FALSE)</f>
        <v xml:space="preserve"> </v>
      </c>
      <c r="AO5" s="62">
        <f>VLOOKUP($K5,waveData!$K$3:$Z$11,16,FALSE)</f>
        <v>1000</v>
      </c>
    </row>
    <row r="6" spans="1:41" x14ac:dyDescent="0.25">
      <c r="A6" t="s">
        <v>645</v>
      </c>
      <c r="B6" s="62" t="str">
        <f t="shared" si="0"/>
        <v>0131113155</v>
      </c>
      <c r="C6" s="62">
        <v>2018</v>
      </c>
      <c r="D6" s="62">
        <v>1</v>
      </c>
      <c r="E6" s="62">
        <f t="shared" si="1"/>
        <v>31</v>
      </c>
      <c r="F6" s="147">
        <f t="shared" si="2"/>
        <v>11</v>
      </c>
      <c r="G6" s="147">
        <f t="shared" si="3"/>
        <v>11</v>
      </c>
      <c r="H6" s="147">
        <f t="shared" si="4"/>
        <v>31</v>
      </c>
      <c r="I6" s="147">
        <f t="shared" si="5"/>
        <v>55</v>
      </c>
      <c r="J6" s="62" t="str">
        <f t="shared" si="6"/>
        <v>2018-01-31-11:31:55-04</v>
      </c>
      <c r="K6">
        <v>3</v>
      </c>
      <c r="L6">
        <v>5.4</v>
      </c>
      <c r="M6">
        <v>964</v>
      </c>
      <c r="N6" s="149">
        <v>2.5688119999999999</v>
      </c>
      <c r="O6" s="149">
        <v>4.6985450000000002</v>
      </c>
      <c r="P6" s="149">
        <v>1.191975E-2</v>
      </c>
      <c r="Q6" s="149">
        <v>3.7572540000000001</v>
      </c>
      <c r="R6" s="149">
        <v>-15.091519999999999</v>
      </c>
      <c r="S6" s="149">
        <v>15.303990000000001</v>
      </c>
      <c r="T6" s="149">
        <v>0.55773479999999998</v>
      </c>
      <c r="U6" s="149">
        <v>0.55773479999999998</v>
      </c>
      <c r="V6" s="149">
        <v>90.340919999999997</v>
      </c>
      <c r="W6" s="149">
        <v>2.5688119999999999</v>
      </c>
      <c r="X6" s="149">
        <v>1.3317239999999999</v>
      </c>
      <c r="Y6" s="62">
        <f>VLOOKUP(L6,Sheet3!$E$21:$H$25,4,FALSE)</f>
        <v>24</v>
      </c>
      <c r="Z6" s="62" t="s">
        <v>176</v>
      </c>
      <c r="AA6" s="62" t="str">
        <f>VLOOKUP($K6,waveData!$K$3:$Z$11,2,FALSE)</f>
        <v>polychromatic long-crested head-on</v>
      </c>
      <c r="AB6" s="62" t="str">
        <f>VLOOKUP($K6,waveData!$K$3:$Z$11,3,FALSE)</f>
        <v>Bretschneider Spectrum</v>
      </c>
      <c r="AC6" s="62">
        <f>VLOOKUP($K6,waveData!$K$3:$Z$11,4,FALSE)</f>
        <v>0.11409999999999999</v>
      </c>
      <c r="AD6" s="62">
        <f>VLOOKUP($K6,waveData!$K$3:$Z$11,5,FALSE)</f>
        <v>2.3664000000000001</v>
      </c>
      <c r="AE6" s="62" t="str">
        <f>VLOOKUP($K6,waveData!$K$3:$Z$11,6,FALSE)</f>
        <v xml:space="preserve"> </v>
      </c>
      <c r="AF6" s="62">
        <f>VLOOKUP($K6,waveData!$K$3:$Z$11,7,FALSE)</f>
        <v>1.7399999999999999E-2</v>
      </c>
      <c r="AG6" s="62">
        <f>VLOOKUP($K6,waveData!$K$3:$Z$11,8,FALSE)</f>
        <v>0</v>
      </c>
      <c r="AH6" s="62" t="str">
        <f>VLOOKUP($K6,waveData!$K$3:$Z$11,9,FALSE)</f>
        <v xml:space="preserve"> </v>
      </c>
      <c r="AI6" s="62" t="str">
        <f>VLOOKUP($K6,waveData!$K$3:$Z$11,10,FALSE)</f>
        <v xml:space="preserve"> </v>
      </c>
      <c r="AJ6" s="62">
        <f>VLOOKUP($K6,waveData!$K$3:$Z$11,11,FALSE)</f>
        <v>13.044</v>
      </c>
      <c r="AK6" s="62">
        <f>VLOOKUP($K6,waveData!$K$3:$Z$11,12,FALSE)</f>
        <v>2.0514999999999999</v>
      </c>
      <c r="AL6" s="62">
        <f>VLOOKUP($K6,waveData!$K$3:$Z$11,13,FALSE)</f>
        <v>0.50019999999999998</v>
      </c>
      <c r="AM6" s="62">
        <f>VLOOKUP($K6,waveData!$K$3:$Z$11,14,FALSE)</f>
        <v>4.3</v>
      </c>
      <c r="AN6" s="62" t="str">
        <f>VLOOKUP($K6,waveData!$K$3:$Z$11,15,FALSE)</f>
        <v xml:space="preserve"> </v>
      </c>
      <c r="AO6" s="62">
        <f>VLOOKUP($K6,waveData!$K$3:$Z$11,16,FALSE)</f>
        <v>1000</v>
      </c>
    </row>
    <row r="7" spans="1:41" x14ac:dyDescent="0.25">
      <c r="A7" t="s">
        <v>646</v>
      </c>
      <c r="B7" s="62" t="str">
        <f t="shared" si="0"/>
        <v>0131115246</v>
      </c>
      <c r="C7" s="62">
        <v>2018</v>
      </c>
      <c r="D7" s="62">
        <v>1</v>
      </c>
      <c r="E7" s="62">
        <f t="shared" si="1"/>
        <v>31</v>
      </c>
      <c r="F7" s="147">
        <f t="shared" si="2"/>
        <v>11</v>
      </c>
      <c r="G7" s="147">
        <f t="shared" si="3"/>
        <v>11</v>
      </c>
      <c r="H7" s="147">
        <f t="shared" si="4"/>
        <v>52</v>
      </c>
      <c r="I7" s="147">
        <f t="shared" si="5"/>
        <v>46</v>
      </c>
      <c r="J7" s="62" t="str">
        <f t="shared" si="6"/>
        <v>2018-01-31-11:52:46-04</v>
      </c>
      <c r="K7">
        <v>4</v>
      </c>
      <c r="L7">
        <v>5</v>
      </c>
      <c r="M7">
        <v>964</v>
      </c>
      <c r="N7" s="149">
        <v>3.6404779999999999</v>
      </c>
      <c r="O7" s="149">
        <v>6.6751760000000004</v>
      </c>
      <c r="P7" s="149">
        <v>9.6520110000000006E-2</v>
      </c>
      <c r="Q7" s="149">
        <v>4.1447019999999997</v>
      </c>
      <c r="R7" s="149">
        <v>-16.916090000000001</v>
      </c>
      <c r="S7" s="149">
        <v>18.105879999999999</v>
      </c>
      <c r="T7" s="149">
        <v>1.3156000000000001</v>
      </c>
      <c r="U7" s="149">
        <v>1.3156000000000001</v>
      </c>
      <c r="V7" s="149">
        <v>114.91289999999999</v>
      </c>
      <c r="W7" s="149">
        <v>3.6404779999999999</v>
      </c>
      <c r="X7" s="149">
        <v>2.0077410000000002</v>
      </c>
      <c r="Y7" s="62">
        <f>VLOOKUP(L7,Sheet3!$E$21:$H$25,4,FALSE)</f>
        <v>23</v>
      </c>
      <c r="Z7" s="62" t="s">
        <v>176</v>
      </c>
      <c r="AA7" s="62" t="str">
        <f>VLOOKUP($K7,waveData!$K$3:$Z$11,2,FALSE)</f>
        <v>polychromatic long-crested head-on</v>
      </c>
      <c r="AB7" s="62" t="str">
        <f>VLOOKUP($K7,waveData!$K$3:$Z$11,3,FALSE)</f>
        <v>Bretschneider Spectrum</v>
      </c>
      <c r="AC7" s="62">
        <f>VLOOKUP($K7,waveData!$K$3:$Z$11,4,FALSE)</f>
        <v>0.13969999999999999</v>
      </c>
      <c r="AD7" s="62">
        <f>VLOOKUP($K7,waveData!$K$3:$Z$11,5,FALSE)</f>
        <v>1.9878</v>
      </c>
      <c r="AE7" s="62" t="str">
        <f>VLOOKUP($K7,waveData!$K$3:$Z$11,6,FALSE)</f>
        <v xml:space="preserve"> </v>
      </c>
      <c r="AF7" s="62">
        <f>VLOOKUP($K7,waveData!$K$3:$Z$11,7,FALSE)</f>
        <v>3.32E-2</v>
      </c>
      <c r="AG7" s="62">
        <f>VLOOKUP($K7,waveData!$K$3:$Z$11,8,FALSE)</f>
        <v>0</v>
      </c>
      <c r="AH7" s="62" t="str">
        <f>VLOOKUP($K7,waveData!$K$3:$Z$11,9,FALSE)</f>
        <v xml:space="preserve"> </v>
      </c>
      <c r="AI7" s="62" t="str">
        <f>VLOOKUP($K7,waveData!$K$3:$Z$11,10,FALSE)</f>
        <v xml:space="preserve"> </v>
      </c>
      <c r="AJ7" s="62">
        <f>VLOOKUP($K7,waveData!$K$3:$Z$11,11,FALSE)</f>
        <v>15.3545</v>
      </c>
      <c r="AK7" s="62">
        <f>VLOOKUP($K7,waveData!$K$3:$Z$11,12,FALSE)</f>
        <v>1.6426000000000001</v>
      </c>
      <c r="AL7" s="62">
        <f>VLOOKUP($K7,waveData!$K$3:$Z$11,13,FALSE)</f>
        <v>0.50729999999999997</v>
      </c>
      <c r="AM7" s="62">
        <f>VLOOKUP($K7,waveData!$K$3:$Z$11,14,FALSE)</f>
        <v>4.3</v>
      </c>
      <c r="AN7" s="62" t="str">
        <f>VLOOKUP($K7,waveData!$K$3:$Z$11,15,FALSE)</f>
        <v xml:space="preserve"> </v>
      </c>
      <c r="AO7" s="62">
        <f>VLOOKUP($K7,waveData!$K$3:$Z$11,16,FALSE)</f>
        <v>1000</v>
      </c>
    </row>
    <row r="8" spans="1:41" x14ac:dyDescent="0.25">
      <c r="A8" t="s">
        <v>647</v>
      </c>
      <c r="B8" s="62" t="str">
        <f t="shared" si="0"/>
        <v>0131022731</v>
      </c>
      <c r="C8" s="62">
        <v>2018</v>
      </c>
      <c r="D8" s="62">
        <v>1</v>
      </c>
      <c r="E8" s="62">
        <f t="shared" si="1"/>
        <v>31</v>
      </c>
      <c r="F8" s="147">
        <f t="shared" si="2"/>
        <v>2</v>
      </c>
      <c r="G8" s="147">
        <f t="shared" si="3"/>
        <v>14</v>
      </c>
      <c r="H8" s="147">
        <f t="shared" si="4"/>
        <v>27</v>
      </c>
      <c r="I8" s="147">
        <f t="shared" si="5"/>
        <v>31</v>
      </c>
      <c r="J8" s="62" t="str">
        <f t="shared" si="6"/>
        <v>2018-01-31-14:27:31-04</v>
      </c>
      <c r="K8">
        <v>5</v>
      </c>
      <c r="L8">
        <v>6</v>
      </c>
      <c r="M8">
        <v>964</v>
      </c>
      <c r="N8" s="149">
        <v>3.4424060000000001</v>
      </c>
      <c r="O8" s="149">
        <v>6.4819180000000003</v>
      </c>
      <c r="P8" s="149">
        <v>0.32957140000000001</v>
      </c>
      <c r="Q8" s="149">
        <v>4.3586970000000003</v>
      </c>
      <c r="R8" s="149">
        <v>-15.706519999999999</v>
      </c>
      <c r="S8" s="149">
        <v>22.086449999999999</v>
      </c>
      <c r="T8" s="149">
        <v>0.75800840000000003</v>
      </c>
      <c r="U8" s="149">
        <v>0.75800840000000003</v>
      </c>
      <c r="V8" s="149">
        <v>131.90090000000001</v>
      </c>
      <c r="W8" s="149">
        <v>3.4424060000000001</v>
      </c>
      <c r="X8" s="149">
        <v>2.0296750000000001</v>
      </c>
      <c r="Y8" s="62">
        <f>VLOOKUP(L8,Sheet3!$E$21:$H$25,4,FALSE)</f>
        <v>25</v>
      </c>
      <c r="Z8" s="62" t="s">
        <v>176</v>
      </c>
      <c r="AA8" s="62" t="str">
        <f>VLOOKUP($K8,waveData!$K$3:$Z$11,2,FALSE)</f>
        <v>polychromatic long-crested head-on</v>
      </c>
      <c r="AB8" s="62" t="str">
        <f>VLOOKUP($K8,waveData!$K$3:$Z$11,3,FALSE)</f>
        <v>Bretschneider Spectrum</v>
      </c>
      <c r="AC8" s="62">
        <f>VLOOKUP($K8,waveData!$K$3:$Z$11,4,FALSE)</f>
        <v>0.14710000000000001</v>
      </c>
      <c r="AD8" s="62">
        <f>VLOOKUP($K8,waveData!$K$3:$Z$11,5,FALSE)</f>
        <v>2.6861999999999999</v>
      </c>
      <c r="AE8" s="62" t="str">
        <f>VLOOKUP($K8,waveData!$K$3:$Z$11,6,FALSE)</f>
        <v xml:space="preserve"> </v>
      </c>
      <c r="AF8" s="62">
        <f>VLOOKUP($K8,waveData!$K$3:$Z$11,7,FALSE)</f>
        <v>1.5699999999999999E-2</v>
      </c>
      <c r="AG8" s="62">
        <f>VLOOKUP($K8,waveData!$K$3:$Z$11,8,FALSE)</f>
        <v>0</v>
      </c>
      <c r="AH8" s="62" t="str">
        <f>VLOOKUP($K8,waveData!$K$3:$Z$11,9,FALSE)</f>
        <v xml:space="preserve"> </v>
      </c>
      <c r="AI8" s="62" t="str">
        <f>VLOOKUP($K8,waveData!$K$3:$Z$11,10,FALSE)</f>
        <v xml:space="preserve"> </v>
      </c>
      <c r="AJ8" s="62">
        <f>VLOOKUP($K8,waveData!$K$3:$Z$11,11,FALSE)</f>
        <v>27.0061</v>
      </c>
      <c r="AK8" s="62">
        <f>VLOOKUP($K8,waveData!$K$3:$Z$11,12,FALSE)</f>
        <v>2.4605000000000001</v>
      </c>
      <c r="AL8" s="62">
        <f>VLOOKUP($K8,waveData!$K$3:$Z$11,13,FALSE)</f>
        <v>0.48</v>
      </c>
      <c r="AM8" s="62">
        <f>VLOOKUP($K8,waveData!$K$3:$Z$11,14,FALSE)</f>
        <v>4.3</v>
      </c>
      <c r="AN8" s="62" t="str">
        <f>VLOOKUP($K8,waveData!$K$3:$Z$11,15,FALSE)</f>
        <v xml:space="preserve"> </v>
      </c>
      <c r="AO8" s="62">
        <f>VLOOKUP($K8,waveData!$K$3:$Z$11,16,FALSE)</f>
        <v>1000</v>
      </c>
    </row>
    <row r="9" spans="1:41" x14ac:dyDescent="0.25">
      <c r="A9" t="s">
        <v>648</v>
      </c>
      <c r="B9" s="62" t="str">
        <f t="shared" si="0"/>
        <v>0131024803</v>
      </c>
      <c r="C9" s="62">
        <v>2018</v>
      </c>
      <c r="D9" s="62">
        <v>1</v>
      </c>
      <c r="E9" s="62">
        <f t="shared" si="1"/>
        <v>31</v>
      </c>
      <c r="F9" s="147">
        <f t="shared" si="2"/>
        <v>2</v>
      </c>
      <c r="G9" s="147">
        <f t="shared" si="3"/>
        <v>14</v>
      </c>
      <c r="H9" s="147">
        <f t="shared" si="4"/>
        <v>48</v>
      </c>
      <c r="I9" s="147">
        <f t="shared" si="5"/>
        <v>3</v>
      </c>
      <c r="J9" s="62" t="str">
        <f t="shared" si="6"/>
        <v>2018-01-31-14:48:03-04</v>
      </c>
      <c r="K9">
        <v>6</v>
      </c>
      <c r="L9">
        <v>6</v>
      </c>
      <c r="M9">
        <v>964</v>
      </c>
      <c r="N9" s="149">
        <v>7.4443390000000003</v>
      </c>
      <c r="O9" s="149">
        <v>13.72471</v>
      </c>
      <c r="P9" s="149">
        <v>-0.1059986</v>
      </c>
      <c r="Q9" s="149">
        <v>6.698855</v>
      </c>
      <c r="R9" s="149">
        <v>-27.27636</v>
      </c>
      <c r="S9" s="149">
        <v>27.24024</v>
      </c>
      <c r="T9" s="149">
        <v>2.6941320000000002</v>
      </c>
      <c r="U9" s="149">
        <v>2.6941320000000002</v>
      </c>
      <c r="V9" s="149">
        <v>193.69550000000001</v>
      </c>
      <c r="W9" s="149">
        <v>7.4443390000000003</v>
      </c>
      <c r="X9" s="149">
        <v>4.6071090000000003</v>
      </c>
      <c r="Y9" s="62">
        <f>VLOOKUP(L9,Sheet3!$E$21:$H$25,4,FALSE)</f>
        <v>25</v>
      </c>
      <c r="Z9" s="62" t="s">
        <v>176</v>
      </c>
      <c r="AA9" s="62" t="str">
        <f>VLOOKUP($K9,waveData!$K$3:$Z$11,2,FALSE)</f>
        <v>polychromatic long-crested head-on</v>
      </c>
      <c r="AB9" s="62" t="str">
        <f>VLOOKUP($K9,waveData!$K$3:$Z$11,3,FALSE)</f>
        <v>Bretschneider Spectrum</v>
      </c>
      <c r="AC9" s="62">
        <f>VLOOKUP($K9,waveData!$K$3:$Z$11,4,FALSE)</f>
        <v>0.20780000000000001</v>
      </c>
      <c r="AD9" s="62">
        <f>VLOOKUP($K9,waveData!$K$3:$Z$11,5,FALSE)</f>
        <v>2.0706000000000002</v>
      </c>
      <c r="AE9" s="62" t="str">
        <f>VLOOKUP($K9,waveData!$K$3:$Z$11,6,FALSE)</f>
        <v xml:space="preserve"> </v>
      </c>
      <c r="AF9" s="62">
        <f>VLOOKUP($K9,waveData!$K$3:$Z$11,7,FALSE)</f>
        <v>3.9399999999999998E-2</v>
      </c>
      <c r="AG9" s="62">
        <f>VLOOKUP($K9,waveData!$K$3:$Z$11,8,FALSE)</f>
        <v>0</v>
      </c>
      <c r="AH9" s="62" t="str">
        <f>VLOOKUP($K9,waveData!$K$3:$Z$11,9,FALSE)</f>
        <v xml:space="preserve"> </v>
      </c>
      <c r="AI9" s="62" t="str">
        <f>VLOOKUP($K9,waveData!$K$3:$Z$11,10,FALSE)</f>
        <v xml:space="preserve"> </v>
      </c>
      <c r="AJ9" s="62">
        <f>VLOOKUP($K9,waveData!$K$3:$Z$11,11,FALSE)</f>
        <v>38.299300000000002</v>
      </c>
      <c r="AK9" s="62">
        <f>VLOOKUP($K9,waveData!$K$3:$Z$11,12,FALSE)</f>
        <v>1.8373999999999999</v>
      </c>
      <c r="AL9" s="62">
        <f>VLOOKUP($K9,waveData!$K$3:$Z$11,13,FALSE)</f>
        <v>0.47899999999999998</v>
      </c>
      <c r="AM9" s="62">
        <f>VLOOKUP($K9,waveData!$K$3:$Z$11,14,FALSE)</f>
        <v>4.3</v>
      </c>
      <c r="AN9" s="62" t="str">
        <f>VLOOKUP($K9,waveData!$K$3:$Z$11,15,FALSE)</f>
        <v xml:space="preserve"> </v>
      </c>
      <c r="AO9" s="62">
        <f>VLOOKUP($K9,waveData!$K$3:$Z$11,16,FALSE)</f>
        <v>1000</v>
      </c>
    </row>
    <row r="10" spans="1:41" x14ac:dyDescent="0.25">
      <c r="A10" t="s">
        <v>649</v>
      </c>
      <c r="B10" s="62" t="str">
        <f t="shared" si="0"/>
        <v>0201034648</v>
      </c>
      <c r="C10" s="62">
        <v>2018</v>
      </c>
      <c r="D10" s="62">
        <v>2</v>
      </c>
      <c r="E10" s="62">
        <f t="shared" si="1"/>
        <v>1</v>
      </c>
      <c r="F10" s="147">
        <f t="shared" si="2"/>
        <v>3</v>
      </c>
      <c r="G10" s="147">
        <f t="shared" si="3"/>
        <v>15</v>
      </c>
      <c r="H10" s="147">
        <f t="shared" si="4"/>
        <v>46</v>
      </c>
      <c r="I10" s="147">
        <f t="shared" si="5"/>
        <v>48</v>
      </c>
      <c r="J10" s="62" t="str">
        <f t="shared" si="6"/>
        <v>2018-02-01-15:46:48-04</v>
      </c>
      <c r="K10">
        <v>7</v>
      </c>
      <c r="L10">
        <v>5</v>
      </c>
      <c r="M10">
        <v>964</v>
      </c>
      <c r="N10" s="149">
        <v>3.9046979999999998</v>
      </c>
      <c r="O10" s="149">
        <v>7.1404350000000001</v>
      </c>
      <c r="P10" s="149">
        <v>0.53772560000000003</v>
      </c>
      <c r="Q10" s="149">
        <v>4.4371590000000003</v>
      </c>
      <c r="R10" s="149">
        <v>-18.29588</v>
      </c>
      <c r="S10" s="149">
        <v>21.010760000000001</v>
      </c>
      <c r="T10" s="149">
        <v>0.76387629999999995</v>
      </c>
      <c r="U10" s="149">
        <v>0.76387629999999995</v>
      </c>
      <c r="V10" s="149">
        <v>111.5468</v>
      </c>
      <c r="W10" s="149">
        <v>3.9046979999999998</v>
      </c>
      <c r="X10" s="149">
        <v>2.209225</v>
      </c>
      <c r="Y10" s="62">
        <f>VLOOKUP(L10,Sheet3!$E$21:$H$25,4,FALSE)</f>
        <v>23</v>
      </c>
      <c r="Z10" s="62" t="s">
        <v>176</v>
      </c>
      <c r="AA10" s="62" t="str">
        <f>VLOOKUP($K10,waveData!$K$3:$Z$11,2,FALSE)</f>
        <v>polychromatic short crested head-on</v>
      </c>
      <c r="AB10" s="62" t="str">
        <f>VLOOKUP($K10,waveData!$K$3:$Z$11,3,FALSE)</f>
        <v>Bretschneider Spectrum</v>
      </c>
      <c r="AC10" s="62">
        <f>VLOOKUP($K10,waveData!$K$3:$Z$11,4,FALSE)</f>
        <v>0.1431</v>
      </c>
      <c r="AD10" s="62">
        <f>VLOOKUP($K10,waveData!$K$3:$Z$11,5,FALSE)</f>
        <v>1.9878</v>
      </c>
      <c r="AE10" s="62" t="str">
        <f>VLOOKUP($K10,waveData!$K$3:$Z$11,6,FALSE)</f>
        <v xml:space="preserve"> </v>
      </c>
      <c r="AF10" s="62">
        <f>VLOOKUP($K10,waveData!$K$3:$Z$11,7,FALSE)</f>
        <v>3.3500000000000002E-2</v>
      </c>
      <c r="AG10" s="62">
        <f>VLOOKUP($K10,waveData!$K$3:$Z$11,8,FALSE)</f>
        <v>0</v>
      </c>
      <c r="AH10" s="62" t="str">
        <f>VLOOKUP($K10,waveData!$K$3:$Z$11,9,FALSE)</f>
        <v>cos2s</v>
      </c>
      <c r="AI10" s="62">
        <f>VLOOKUP($K10,waveData!$K$3:$Z$11,10,FALSE)</f>
        <v>10</v>
      </c>
      <c r="AJ10" s="62">
        <f>VLOOKUP($K10,waveData!$K$3:$Z$11,11,FALSE)</f>
        <v>16.154699999999998</v>
      </c>
      <c r="AK10" s="62">
        <f>VLOOKUP($K10,waveData!$K$3:$Z$11,12,FALSE)</f>
        <v>1.6534</v>
      </c>
      <c r="AL10" s="62">
        <f>VLOOKUP($K10,waveData!$K$3:$Z$11,13,FALSE)</f>
        <v>0.62560000000000004</v>
      </c>
      <c r="AM10" s="62">
        <f>VLOOKUP($K10,waveData!$K$3:$Z$11,14,FALSE)</f>
        <v>4.3</v>
      </c>
      <c r="AN10" s="62" t="str">
        <f>VLOOKUP($K10,waveData!$K$3:$Z$11,15,FALSE)</f>
        <v xml:space="preserve"> </v>
      </c>
      <c r="AO10" s="62">
        <f>VLOOKUP($K10,waveData!$K$3:$Z$11,16,FALSE)</f>
        <v>1000</v>
      </c>
    </row>
    <row r="11" spans="1:41" x14ac:dyDescent="0.25">
      <c r="A11" t="s">
        <v>650</v>
      </c>
      <c r="B11" s="62" t="str">
        <f t="shared" si="0"/>
        <v>0201040540</v>
      </c>
      <c r="C11" s="62">
        <v>2018</v>
      </c>
      <c r="D11" s="62">
        <v>2</v>
      </c>
      <c r="E11" s="62">
        <f t="shared" si="1"/>
        <v>1</v>
      </c>
      <c r="F11" s="147">
        <f t="shared" si="2"/>
        <v>4</v>
      </c>
      <c r="G11" s="147">
        <f t="shared" si="3"/>
        <v>16</v>
      </c>
      <c r="H11" s="147">
        <f t="shared" si="4"/>
        <v>5</v>
      </c>
      <c r="I11" s="147">
        <f t="shared" si="5"/>
        <v>40</v>
      </c>
      <c r="J11" s="62" t="str">
        <f t="shared" si="6"/>
        <v>2018-02-01-16:05:40-04</v>
      </c>
      <c r="K11">
        <v>8</v>
      </c>
      <c r="L11">
        <v>5</v>
      </c>
      <c r="M11">
        <v>960</v>
      </c>
      <c r="N11" s="149">
        <v>1.3359799999999999</v>
      </c>
      <c r="O11" s="149">
        <v>2.410968</v>
      </c>
      <c r="P11" s="149">
        <v>0.29989670000000002</v>
      </c>
      <c r="Q11" s="149">
        <v>3.3705720000000001</v>
      </c>
      <c r="R11" s="149">
        <v>-12.64026</v>
      </c>
      <c r="S11" s="149">
        <v>14.56921</v>
      </c>
      <c r="T11" s="149">
        <v>-0.20694850000000001</v>
      </c>
      <c r="U11" s="149">
        <v>-0.20694850000000001</v>
      </c>
      <c r="V11" s="149">
        <v>50.513240000000003</v>
      </c>
      <c r="W11" s="149">
        <v>1.3359799999999999</v>
      </c>
      <c r="X11" s="149">
        <v>0.42474590000000001</v>
      </c>
      <c r="Y11" s="62">
        <f>VLOOKUP(L11,Sheet3!$E$21:$H$25,4,FALSE)</f>
        <v>23</v>
      </c>
      <c r="Z11" s="62" t="s">
        <v>176</v>
      </c>
      <c r="AA11" s="62" t="str">
        <f>VLOOKUP($K11,waveData!$K$3:$Z$11,2,FALSE)</f>
        <v>bimodal polychromatic long-crested</v>
      </c>
      <c r="AB11" s="62" t="str">
        <f>VLOOKUP($K11,waveData!$K$3:$Z$11,3,FALSE)</f>
        <v>Custom</v>
      </c>
      <c r="AC11" s="62">
        <f>VLOOKUP($K11,waveData!$K$3:$Z$11,4,FALSE)</f>
        <v>0.112</v>
      </c>
      <c r="AD11" s="62">
        <f>VLOOKUP($K11,waveData!$K$3:$Z$11,5,FALSE)</f>
        <v>3.3130000000000002</v>
      </c>
      <c r="AE11" s="62" t="str">
        <f>VLOOKUP($K11,waveData!$K$3:$Z$11,6,FALSE)</f>
        <v xml:space="preserve"> </v>
      </c>
      <c r="AF11" s="62">
        <f>VLOOKUP($K11,waveData!$K$3:$Z$11,7,FALSE)</f>
        <v>1.1900000000000001E-2</v>
      </c>
      <c r="AG11" s="62">
        <f>VLOOKUP($K11,waveData!$K$3:$Z$11,8,FALSE)</f>
        <v>0</v>
      </c>
      <c r="AH11" s="62" t="str">
        <f>VLOOKUP($K11,waveData!$K$3:$Z$11,9,FALSE)</f>
        <v>bi-directional</v>
      </c>
      <c r="AI11" s="62" t="str">
        <f>VLOOKUP($K11,waveData!$K$3:$Z$11,10,FALSE)</f>
        <v xml:space="preserve"> </v>
      </c>
      <c r="AJ11" s="62">
        <f>VLOOKUP($K11,waveData!$K$3:$Z$11,11,FALSE)</f>
        <v>16.121300000000002</v>
      </c>
      <c r="AK11" s="62">
        <f>VLOOKUP($K11,waveData!$K$3:$Z$11,12,FALSE)</f>
        <v>2.4655</v>
      </c>
      <c r="AL11" s="62">
        <f>VLOOKUP($K11,waveData!$K$3:$Z$11,13,FALSE)</f>
        <v>0.57299999999999995</v>
      </c>
      <c r="AM11" s="62">
        <f>VLOOKUP($K11,waveData!$K$3:$Z$11,14,FALSE)</f>
        <v>4.3</v>
      </c>
      <c r="AN11" s="62" t="str">
        <f>VLOOKUP($K11,waveData!$K$3:$Z$11,15,FALSE)</f>
        <v xml:space="preserve"> </v>
      </c>
      <c r="AO11" s="62">
        <f>VLOOKUP($K11,waveData!$K$3:$Z$11,16,FALSE)</f>
        <v>1000</v>
      </c>
    </row>
  </sheetData>
  <sortState ref="A4:X13">
    <sortCondition ref="A4:A13"/>
  </sortState>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Metadata</vt:lpstr>
      <vt:lpstr>Setup</vt:lpstr>
      <vt:lpstr>Characteristics</vt:lpstr>
      <vt:lpstr>Data</vt:lpstr>
      <vt:lpstr>Field Values</vt:lpstr>
      <vt:lpstr>filenames</vt:lpstr>
      <vt:lpstr>About</vt:lpstr>
      <vt:lpstr>damping_data</vt:lpstr>
      <vt:lpstr>hyd_data</vt:lpstr>
      <vt:lpstr>survival_data</vt:lpstr>
      <vt:lpstr>Sheet3</vt:lpstr>
      <vt:lpstr>waveData</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Bradley</cp:lastModifiedBy>
  <cp:lastPrinted>2016-02-11T15:41:27Z</cp:lastPrinted>
  <dcterms:created xsi:type="dcterms:W3CDTF">2015-05-28T14:50:57Z</dcterms:created>
  <dcterms:modified xsi:type="dcterms:W3CDTF">2018-10-23T19:06:39Z</dcterms:modified>
</cp:coreProperties>
</file>